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curro\OneDrive\Desktop\Web en procesos\plantillas excel\plantillas\"/>
    </mc:Choice>
  </mc:AlternateContent>
  <bookViews>
    <workbookView xWindow="0" yWindow="0" windowWidth="20490" windowHeight="6750"/>
  </bookViews>
  <sheets>
    <sheet name="Bebidas" sheetId="1" r:id="rId1"/>
    <sheet name="Comidas" sheetId="3" r:id="rId2"/>
    <sheet name="Menaje" sheetId="4" r:id="rId3"/>
    <sheet name="Total" sheetId="5" r:id="rId4"/>
    <sheet name="Notas" sheetId="2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5" l="1"/>
  <c r="N39" i="1"/>
  <c r="M39" i="1"/>
  <c r="M47" i="1" s="1"/>
  <c r="M55" i="1" s="1"/>
  <c r="L39" i="1"/>
  <c r="L47" i="1" s="1"/>
  <c r="L55" i="1" s="1"/>
  <c r="K39" i="1"/>
  <c r="J39" i="1"/>
  <c r="I39" i="1"/>
  <c r="H39" i="1"/>
  <c r="G39" i="1"/>
  <c r="F39" i="1"/>
  <c r="E39" i="1"/>
  <c r="E47" i="1" s="1"/>
  <c r="E55" i="1" s="1"/>
  <c r="D39" i="1"/>
  <c r="D47" i="1" s="1"/>
  <c r="D55" i="1" s="1"/>
  <c r="N38" i="1"/>
  <c r="N46" i="1" s="1"/>
  <c r="N54" i="1" s="1"/>
  <c r="M38" i="1"/>
  <c r="L38" i="1"/>
  <c r="K38" i="1"/>
  <c r="K46" i="1" s="1"/>
  <c r="K54" i="1" s="1"/>
  <c r="J38" i="1"/>
  <c r="I38" i="1"/>
  <c r="H38" i="1"/>
  <c r="G38" i="1"/>
  <c r="G46" i="1" s="1"/>
  <c r="G54" i="1" s="1"/>
  <c r="F38" i="1"/>
  <c r="F46" i="1" s="1"/>
  <c r="F54" i="1" s="1"/>
  <c r="E38" i="1"/>
  <c r="D38" i="1"/>
  <c r="D46" i="1" s="1"/>
  <c r="D54" i="1" s="1"/>
  <c r="N37" i="1"/>
  <c r="M37" i="1"/>
  <c r="L37" i="1"/>
  <c r="L40" i="1" s="1"/>
  <c r="K37" i="1"/>
  <c r="K45" i="1" s="1"/>
  <c r="J37" i="1"/>
  <c r="J45" i="1" s="1"/>
  <c r="J53" i="1" s="1"/>
  <c r="I37" i="1"/>
  <c r="H37" i="1"/>
  <c r="G37" i="1"/>
  <c r="F37" i="1"/>
  <c r="E37" i="1"/>
  <c r="D37" i="1"/>
  <c r="C37" i="1"/>
  <c r="C38" i="1"/>
  <c r="C39" i="1"/>
  <c r="C47" i="1" s="1"/>
  <c r="E46" i="1"/>
  <c r="E54" i="1" s="1"/>
  <c r="N12" i="4"/>
  <c r="M12" i="4"/>
  <c r="L12" i="4"/>
  <c r="K12" i="4"/>
  <c r="J12" i="4"/>
  <c r="I12" i="4"/>
  <c r="H12" i="4"/>
  <c r="G12" i="4"/>
  <c r="F12" i="4"/>
  <c r="E12" i="4"/>
  <c r="D12" i="4"/>
  <c r="C12" i="4"/>
  <c r="O11" i="4"/>
  <c r="O10" i="4"/>
  <c r="O9" i="4"/>
  <c r="N39" i="3"/>
  <c r="N47" i="3" s="1"/>
  <c r="N55" i="3" s="1"/>
  <c r="M39" i="3"/>
  <c r="M47" i="3" s="1"/>
  <c r="M55" i="3" s="1"/>
  <c r="L39" i="3"/>
  <c r="L47" i="3" s="1"/>
  <c r="L55" i="3" s="1"/>
  <c r="K39" i="3"/>
  <c r="K47" i="3" s="1"/>
  <c r="K55" i="3" s="1"/>
  <c r="J39" i="3"/>
  <c r="J47" i="3" s="1"/>
  <c r="J55" i="3" s="1"/>
  <c r="I39" i="3"/>
  <c r="I47" i="3" s="1"/>
  <c r="I55" i="3" s="1"/>
  <c r="H39" i="3"/>
  <c r="H47" i="3" s="1"/>
  <c r="H55" i="3" s="1"/>
  <c r="G39" i="3"/>
  <c r="G47" i="3" s="1"/>
  <c r="G55" i="3" s="1"/>
  <c r="F39" i="3"/>
  <c r="F47" i="3" s="1"/>
  <c r="F55" i="3" s="1"/>
  <c r="E39" i="3"/>
  <c r="E47" i="3" s="1"/>
  <c r="E55" i="3" s="1"/>
  <c r="D39" i="3"/>
  <c r="D47" i="3" s="1"/>
  <c r="D55" i="3" s="1"/>
  <c r="C39" i="3"/>
  <c r="C47" i="3" s="1"/>
  <c r="N38" i="3"/>
  <c r="M38" i="3"/>
  <c r="M46" i="3" s="1"/>
  <c r="M54" i="3" s="1"/>
  <c r="L38" i="3"/>
  <c r="L46" i="3" s="1"/>
  <c r="L54" i="3" s="1"/>
  <c r="K38" i="3"/>
  <c r="K46" i="3" s="1"/>
  <c r="K54" i="3" s="1"/>
  <c r="J38" i="3"/>
  <c r="J46" i="3" s="1"/>
  <c r="J54" i="3" s="1"/>
  <c r="I38" i="3"/>
  <c r="I46" i="3" s="1"/>
  <c r="I54" i="3" s="1"/>
  <c r="H38" i="3"/>
  <c r="H46" i="3" s="1"/>
  <c r="H54" i="3" s="1"/>
  <c r="G38" i="3"/>
  <c r="G46" i="3" s="1"/>
  <c r="G54" i="3" s="1"/>
  <c r="F38" i="3"/>
  <c r="E38" i="3"/>
  <c r="E46" i="3" s="1"/>
  <c r="E54" i="3" s="1"/>
  <c r="D38" i="3"/>
  <c r="D46" i="3" s="1"/>
  <c r="D54" i="3" s="1"/>
  <c r="C38" i="3"/>
  <c r="C46" i="3" s="1"/>
  <c r="N37" i="3"/>
  <c r="N45" i="3" s="1"/>
  <c r="M37" i="3"/>
  <c r="M45" i="3" s="1"/>
  <c r="L37" i="3"/>
  <c r="L45" i="3" s="1"/>
  <c r="L53" i="3" s="1"/>
  <c r="K37" i="3"/>
  <c r="J37" i="3"/>
  <c r="J45" i="3" s="1"/>
  <c r="I37" i="3"/>
  <c r="I45" i="3" s="1"/>
  <c r="H37" i="3"/>
  <c r="H45" i="3" s="1"/>
  <c r="G37" i="3"/>
  <c r="G40" i="3" s="1"/>
  <c r="F37" i="3"/>
  <c r="F45" i="3" s="1"/>
  <c r="E37" i="3"/>
  <c r="E45" i="3" s="1"/>
  <c r="D37" i="3"/>
  <c r="D45" i="3" s="1"/>
  <c r="D53" i="3" s="1"/>
  <c r="D56" i="3" s="1"/>
  <c r="C37" i="3"/>
  <c r="O29" i="3"/>
  <c r="O28" i="3"/>
  <c r="O27" i="3"/>
  <c r="N22" i="3"/>
  <c r="M22" i="3"/>
  <c r="L22" i="3"/>
  <c r="K22" i="3"/>
  <c r="J22" i="3"/>
  <c r="I22" i="3"/>
  <c r="H22" i="3"/>
  <c r="G22" i="3"/>
  <c r="F22" i="3"/>
  <c r="E22" i="3"/>
  <c r="D22" i="3"/>
  <c r="C22" i="3"/>
  <c r="O21" i="3"/>
  <c r="O20" i="3"/>
  <c r="O19" i="3"/>
  <c r="N12" i="3"/>
  <c r="M12" i="3"/>
  <c r="L12" i="3"/>
  <c r="K12" i="3"/>
  <c r="J12" i="3"/>
  <c r="I12" i="3"/>
  <c r="H12" i="3"/>
  <c r="G12" i="3"/>
  <c r="F12" i="3"/>
  <c r="E12" i="3"/>
  <c r="D12" i="3"/>
  <c r="C12" i="3"/>
  <c r="O11" i="3"/>
  <c r="O10" i="3"/>
  <c r="O12" i="3" s="1"/>
  <c r="O9" i="3"/>
  <c r="N47" i="1"/>
  <c r="N55" i="1" s="1"/>
  <c r="K47" i="1"/>
  <c r="K55" i="1" s="1"/>
  <c r="J47" i="1"/>
  <c r="J55" i="1" s="1"/>
  <c r="I47" i="1"/>
  <c r="I55" i="1" s="1"/>
  <c r="H47" i="1"/>
  <c r="H55" i="1" s="1"/>
  <c r="G47" i="1"/>
  <c r="G55" i="1" s="1"/>
  <c r="F47" i="1"/>
  <c r="F55" i="1" s="1"/>
  <c r="M46" i="1"/>
  <c r="M54" i="1" s="1"/>
  <c r="L46" i="1"/>
  <c r="L54" i="1" s="1"/>
  <c r="J46" i="1"/>
  <c r="J54" i="1" s="1"/>
  <c r="I46" i="1"/>
  <c r="I54" i="1" s="1"/>
  <c r="H46" i="1"/>
  <c r="H54" i="1" s="1"/>
  <c r="C46" i="1"/>
  <c r="C54" i="1" s="1"/>
  <c r="N40" i="1"/>
  <c r="I45" i="1"/>
  <c r="I53" i="1" s="1"/>
  <c r="H45" i="1"/>
  <c r="H53" i="1" s="1"/>
  <c r="O29" i="1"/>
  <c r="O28" i="1"/>
  <c r="O27" i="1"/>
  <c r="O21" i="1"/>
  <c r="O20" i="1"/>
  <c r="O19" i="1"/>
  <c r="C22" i="1"/>
  <c r="D22" i="1"/>
  <c r="E22" i="1"/>
  <c r="F22" i="1"/>
  <c r="G22" i="1"/>
  <c r="H22" i="1"/>
  <c r="I22" i="1"/>
  <c r="J22" i="1"/>
  <c r="K22" i="1"/>
  <c r="L22" i="1"/>
  <c r="M22" i="1"/>
  <c r="N22" i="1"/>
  <c r="C12" i="1"/>
  <c r="D12" i="1"/>
  <c r="E12" i="1"/>
  <c r="F12" i="1"/>
  <c r="G12" i="1"/>
  <c r="H12" i="1"/>
  <c r="I12" i="1"/>
  <c r="J12" i="1"/>
  <c r="K12" i="1"/>
  <c r="L12" i="1"/>
  <c r="M12" i="1"/>
  <c r="N12" i="1"/>
  <c r="O11" i="1"/>
  <c r="O39" i="1" s="1"/>
  <c r="O10" i="1"/>
  <c r="O38" i="1" s="1"/>
  <c r="O9" i="1"/>
  <c r="O37" i="1" s="1"/>
  <c r="J56" i="1" l="1"/>
  <c r="C40" i="3"/>
  <c r="F40" i="1"/>
  <c r="I56" i="1"/>
  <c r="D40" i="1"/>
  <c r="E40" i="3"/>
  <c r="I40" i="3"/>
  <c r="O22" i="3"/>
  <c r="M40" i="3"/>
  <c r="F40" i="3"/>
  <c r="N40" i="3"/>
  <c r="K40" i="3"/>
  <c r="H48" i="1"/>
  <c r="H56" i="1"/>
  <c r="O54" i="1"/>
  <c r="H40" i="1"/>
  <c r="O12" i="4"/>
  <c r="E53" i="3"/>
  <c r="E56" i="3" s="1"/>
  <c r="E48" i="3"/>
  <c r="M53" i="3"/>
  <c r="M56" i="3" s="1"/>
  <c r="M48" i="3"/>
  <c r="N53" i="3"/>
  <c r="C54" i="3"/>
  <c r="H48" i="3"/>
  <c r="H53" i="3"/>
  <c r="H56" i="3" s="1"/>
  <c r="I48" i="3"/>
  <c r="I53" i="3"/>
  <c r="I56" i="3" s="1"/>
  <c r="F53" i="3"/>
  <c r="J48" i="3"/>
  <c r="J53" i="3"/>
  <c r="J56" i="3" s="1"/>
  <c r="C55" i="3"/>
  <c r="O55" i="3" s="1"/>
  <c r="O47" i="3"/>
  <c r="L56" i="3"/>
  <c r="O37" i="3"/>
  <c r="H40" i="3"/>
  <c r="C45" i="3"/>
  <c r="K45" i="3"/>
  <c r="F46" i="3"/>
  <c r="F54" i="3" s="1"/>
  <c r="N46" i="3"/>
  <c r="N54" i="3" s="1"/>
  <c r="D48" i="3"/>
  <c r="L48" i="3"/>
  <c r="O39" i="3"/>
  <c r="J40" i="3"/>
  <c r="O38" i="3"/>
  <c r="D40" i="3"/>
  <c r="L40" i="3"/>
  <c r="G45" i="3"/>
  <c r="K48" i="1"/>
  <c r="K53" i="1"/>
  <c r="K56" i="1" s="1"/>
  <c r="C40" i="1"/>
  <c r="I48" i="1"/>
  <c r="J48" i="1"/>
  <c r="G40" i="1"/>
  <c r="K40" i="1"/>
  <c r="C55" i="1"/>
  <c r="O55" i="1" s="1"/>
  <c r="O22" i="1"/>
  <c r="E40" i="1"/>
  <c r="M40" i="1"/>
  <c r="C45" i="1"/>
  <c r="O46" i="1"/>
  <c r="O47" i="1"/>
  <c r="I40" i="1"/>
  <c r="D45" i="1"/>
  <c r="L45" i="1"/>
  <c r="J40" i="1"/>
  <c r="E45" i="1"/>
  <c r="M45" i="1"/>
  <c r="F45" i="1"/>
  <c r="N45" i="1"/>
  <c r="G45" i="1"/>
  <c r="O12" i="1"/>
  <c r="O40" i="3" l="1"/>
  <c r="N48" i="3"/>
  <c r="N56" i="3"/>
  <c r="O46" i="3"/>
  <c r="O54" i="3"/>
  <c r="C48" i="3"/>
  <c r="C53" i="3"/>
  <c r="O45" i="3"/>
  <c r="F56" i="3"/>
  <c r="F48" i="3"/>
  <c r="K48" i="3"/>
  <c r="K53" i="3"/>
  <c r="K56" i="3" s="1"/>
  <c r="G48" i="3"/>
  <c r="G53" i="3"/>
  <c r="G56" i="3" s="1"/>
  <c r="C48" i="1"/>
  <c r="C53" i="1"/>
  <c r="C56" i="1" s="1"/>
  <c r="N48" i="1"/>
  <c r="N53" i="1"/>
  <c r="N56" i="1" s="1"/>
  <c r="M48" i="1"/>
  <c r="M53" i="1"/>
  <c r="M56" i="1" s="1"/>
  <c r="L48" i="1"/>
  <c r="L53" i="1"/>
  <c r="L56" i="1" s="1"/>
  <c r="G53" i="1"/>
  <c r="G56" i="1" s="1"/>
  <c r="G48" i="1"/>
  <c r="F48" i="1"/>
  <c r="F53" i="1"/>
  <c r="F56" i="1" s="1"/>
  <c r="E48" i="1"/>
  <c r="E53" i="1"/>
  <c r="E56" i="1" s="1"/>
  <c r="O40" i="1"/>
  <c r="O45" i="1"/>
  <c r="D53" i="1"/>
  <c r="D56" i="1" s="1"/>
  <c r="D48" i="1"/>
  <c r="O48" i="1" l="1"/>
  <c r="C4" i="5"/>
  <c r="O48" i="3"/>
  <c r="C3" i="5"/>
  <c r="C6" i="5" s="1"/>
  <c r="C56" i="3"/>
  <c r="O53" i="3"/>
  <c r="O56" i="3" s="1"/>
  <c r="O53" i="1"/>
  <c r="O56" i="1" s="1"/>
</calcChain>
</file>

<file path=xl/sharedStrings.xml><?xml version="1.0" encoding="utf-8"?>
<sst xmlns="http://schemas.openxmlformats.org/spreadsheetml/2006/main" count="280" uniqueCount="50">
  <si>
    <t>Introduce la información de volumen, costo y precio para cada 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</si>
  <si>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</si>
  <si>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</si>
  <si>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</si>
  <si>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</si>
  <si>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</si>
  <si>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</si>
  <si>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</si>
  <si>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</si>
  <si>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</si>
  <si>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</si>
  <si>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</si>
  <si>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</si>
  <si>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</si>
  <si>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Producto A</t>
  </si>
  <si>
    <t>Producto B</t>
  </si>
  <si>
    <t>Producto C</t>
  </si>
  <si>
    <t>Cálculos automáticos</t>
  </si>
  <si>
    <t xml:space="preserve">Margen </t>
  </si>
  <si>
    <t>Total</t>
  </si>
  <si>
    <t>Producto</t>
  </si>
  <si>
    <t>VOLUMEN</t>
  </si>
  <si>
    <t>COSTO PRODUCCIÓN</t>
  </si>
  <si>
    <t>VENTAS</t>
  </si>
  <si>
    <t>Margen  %</t>
  </si>
  <si>
    <t>PRECIO VENTA</t>
  </si>
  <si>
    <t>PROMEDIO</t>
  </si>
  <si>
    <t>NOTAS</t>
  </si>
  <si>
    <t>Las ventas disminyen por la temporada</t>
  </si>
  <si>
    <t>Las ventas aumentan por la temporada</t>
  </si>
  <si>
    <t>El proveedor X dejará de proveernos el mes de marzo, buscar un nuevo proveedor</t>
  </si>
  <si>
    <t>Comida A</t>
  </si>
  <si>
    <t>Comida B</t>
  </si>
  <si>
    <t>Comida C</t>
  </si>
  <si>
    <t>Bebida A</t>
  </si>
  <si>
    <t>Bebida B</t>
  </si>
  <si>
    <t>Bebida C</t>
  </si>
  <si>
    <t>COSTO COMPRA</t>
  </si>
  <si>
    <t xml:space="preserve">   PRESUPUESTO COMIDAS</t>
  </si>
  <si>
    <t>Comida</t>
  </si>
  <si>
    <t xml:space="preserve">   PRESUPUESTO BEBIDAS</t>
  </si>
  <si>
    <t>Bebida</t>
  </si>
  <si>
    <t>PRESUPUESTO MENAJE</t>
  </si>
  <si>
    <t>INGRESOS COMIDAS</t>
  </si>
  <si>
    <t>Column1</t>
  </si>
  <si>
    <t>TOTAL COMIDAS</t>
  </si>
  <si>
    <t>TOTAL BEBIDAS</t>
  </si>
  <si>
    <t>TOTAL MENAJE</t>
  </si>
  <si>
    <t>Introduce la información de costo para cada mes</t>
  </si>
  <si>
    <t>TOTAL GANANCIA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</si>
</sst>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mmm\-yyyy"/>
    <numFmt numFmtId="167" formatCode="&quot;$&quot;\ #,##0.00"/>
    <numFmt numFmtId="168" formatCode="_ * #,##0_ ;_ * \-#,##0_ ;_ * &quot;-&quot;??_ ;_ @_ "/>
    <numFmt numFmtId="169" formatCode="&quot;$&quot;#,##0.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.5"/>
      <name val="Calibri"/>
      <family val="2"/>
      <scheme val="minor"/>
    </font>
    <font>
      <u/>
      <sz val="10"/>
      <color indexed="12"/>
      <name val="Arial"/>
      <family val="2"/>
    </font>
    <font>
      <b/>
      <u/>
      <sz val="9.5"/>
      <color indexed="17"/>
      <name val="Calibri"/>
      <family val="2"/>
      <scheme val="minor"/>
    </font>
    <font>
      <i/>
      <sz val="9.5"/>
      <name val="Calibri"/>
      <family val="2"/>
      <scheme val="minor"/>
    </font>
    <font>
      <b/>
      <sz val="12"/>
      <color rgb="FF8745EC"/>
      <name val="Calibri"/>
      <family val="2"/>
      <scheme val="minor"/>
    </font>
    <font>
      <sz val="11"/>
      <name val="Calibri"/>
      <family val="2"/>
      <scheme val="minor"/>
    </font>
    <font>
      <i/>
      <sz val="16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8F3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theme="9"/>
      </patternFill>
    </fill>
  </fills>
  <borders count="1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thin">
        <color rgb="FF00B050"/>
      </left>
      <right/>
      <top style="thin">
        <color theme="9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 style="thin">
        <color theme="9"/>
      </top>
      <bottom/>
      <diagonal/>
    </border>
    <border>
      <left style="thin">
        <color rgb="FF00B050"/>
      </left>
      <right/>
      <top style="thin">
        <color theme="9"/>
      </top>
      <bottom style="thin">
        <color rgb="FF00B050"/>
      </bottom>
      <diagonal/>
    </border>
    <border>
      <left/>
      <right style="thin">
        <color rgb="FF00B050"/>
      </right>
      <top style="thin">
        <color theme="9"/>
      </top>
      <bottom style="thin">
        <color rgb="FF00B050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3" applyFont="1" applyAlignment="1" applyProtection="1">
      <alignment horizontal="center"/>
    </xf>
    <xf numFmtId="0" fontId="6" fillId="0" borderId="0" xfId="0" applyFont="1" applyAlignment="1">
      <alignment horizontal="center"/>
    </xf>
    <xf numFmtId="166" fontId="2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2" fontId="8" fillId="0" borderId="0" xfId="1" applyNumberFormat="1" applyFont="1" applyFill="1" applyBorder="1" applyAlignment="1" applyProtection="1">
      <alignment horizontal="center"/>
    </xf>
    <xf numFmtId="0" fontId="8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/>
    </xf>
    <xf numFmtId="167" fontId="8" fillId="0" borderId="0" xfId="1" applyNumberFormat="1" applyFont="1" applyFill="1" applyBorder="1" applyAlignment="1" applyProtection="1">
      <alignment horizontal="center"/>
    </xf>
    <xf numFmtId="0" fontId="9" fillId="0" borderId="0" xfId="0" applyFont="1" applyAlignment="1">
      <alignment vertical="top"/>
    </xf>
    <xf numFmtId="167" fontId="10" fillId="0" borderId="2" xfId="1" applyNumberFormat="1" applyFont="1" applyBorder="1" applyAlignment="1" applyProtection="1">
      <alignment horizontal="center"/>
    </xf>
    <xf numFmtId="167" fontId="10" fillId="0" borderId="3" xfId="1" applyNumberFormat="1" applyFont="1" applyBorder="1" applyAlignment="1" applyProtection="1">
      <alignment horizontal="center"/>
    </xf>
    <xf numFmtId="167" fontId="8" fillId="0" borderId="0" xfId="0" applyNumberFormat="1" applyFont="1" applyAlignment="1">
      <alignment horizontal="center"/>
    </xf>
    <xf numFmtId="168" fontId="3" fillId="0" borderId="0" xfId="1" applyNumberFormat="1" applyFont="1" applyAlignment="1" applyProtection="1">
      <alignment horizontal="center"/>
    </xf>
    <xf numFmtId="165" fontId="3" fillId="0" borderId="0" xfId="1" applyFont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2" fillId="3" borderId="0" xfId="0" applyFont="1" applyFill="1" applyBorder="1" applyAlignment="1">
      <alignment horizontal="left" vertical="center"/>
    </xf>
    <xf numFmtId="0" fontId="14" fillId="0" borderId="0" xfId="0" applyFont="1" applyAlignment="1">
      <alignment vertical="top"/>
    </xf>
    <xf numFmtId="0" fontId="0" fillId="0" borderId="0" xfId="0" applyAlignment="1">
      <alignment horizontal="left" vertical="top"/>
    </xf>
    <xf numFmtId="164" fontId="0" fillId="0" borderId="0" xfId="0" applyNumberFormat="1"/>
    <xf numFmtId="9" fontId="0" fillId="0" borderId="0" xfId="2" applyFont="1"/>
    <xf numFmtId="9" fontId="0" fillId="0" borderId="0" xfId="0" applyNumberFormat="1"/>
    <xf numFmtId="0" fontId="0" fillId="0" borderId="0" xfId="0" applyAlignment="1">
      <alignment horizontal="left" vertical="center"/>
    </xf>
    <xf numFmtId="0" fontId="15" fillId="4" borderId="4" xfId="0" applyFont="1" applyFill="1" applyBorder="1"/>
    <xf numFmtId="0" fontId="0" fillId="0" borderId="5" xfId="0" applyFont="1" applyBorder="1"/>
    <xf numFmtId="0" fontId="15" fillId="4" borderId="6" xfId="0" applyFont="1" applyFill="1" applyBorder="1"/>
    <xf numFmtId="0" fontId="0" fillId="0" borderId="8" xfId="0" applyFont="1" applyBorder="1"/>
    <xf numFmtId="169" fontId="0" fillId="0" borderId="7" xfId="0" applyNumberFormat="1" applyFont="1" applyBorder="1"/>
    <xf numFmtId="164" fontId="0" fillId="0" borderId="7" xfId="0" applyNumberFormat="1" applyFont="1" applyBorder="1"/>
    <xf numFmtId="169" fontId="0" fillId="0" borderId="9" xfId="0" applyNumberFormat="1" applyFont="1" applyBorder="1"/>
    <xf numFmtId="0" fontId="13" fillId="3" borderId="0" xfId="0" applyFont="1" applyFill="1" applyAlignment="1">
      <alignment horizontal="center"/>
    </xf>
    <xf numFmtId="0" fontId="12" fillId="3" borderId="0" xfId="0" applyFont="1" applyFill="1" applyBorder="1" applyAlignment="1">
      <alignment horizontal="left" vertic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323"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border outline="0">
        <top style="thin">
          <color indexed="22"/>
        </top>
      </border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/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/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3" formatCode="0%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/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/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7" formatCode="&quot;$&quot;\ #,##0.00"/>
      <alignment horizontal="center" vertical="bottom" textRotation="0" wrapText="0" indent="0" justifyLastLine="0" shrinkToFit="0" readingOrder="0"/>
      <border diagonalUp="0" diagonalDown="0" outline="0">
        <left style="thin">
          <color theme="0" tint="-0.14996795556505021"/>
        </left>
        <right style="thin">
          <color theme="0" tint="-0.14996795556505021"/>
        </right>
        <top/>
        <bottom/>
      </border>
      <protection locked="1" hidden="0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numFmt numFmtId="164" formatCode="_-&quot;$&quot;* #,##0.00_-;\-&quot;$&quot;* #,##0.00_-;_-&quot;$&quot;* &quot;-&quot;??_-;_-@_-"/>
    </dxf>
    <dxf>
      <border>
        <left style="thin">
          <color theme="9"/>
        </left>
      </border>
    </dxf>
    <dxf>
      <border>
        <left style="thin">
          <color theme="9"/>
        </left>
      </border>
    </dxf>
    <dxf>
      <border>
        <top style="thin">
          <color theme="9"/>
        </top>
      </border>
    </dxf>
    <dxf>
      <border>
        <top style="thin">
          <color theme="9"/>
        </top>
      </border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rgb="FF00B050"/>
        </top>
      </border>
    </dxf>
    <dxf>
      <font>
        <b/>
        <color theme="0"/>
      </font>
      <fill>
        <patternFill patternType="solid">
          <fgColor theme="9"/>
          <bgColor rgb="FF00B050"/>
        </patternFill>
      </fill>
    </dxf>
    <dxf>
      <font>
        <color theme="1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</border>
    </dxf>
  </dxfs>
  <tableStyles count="1" defaultTableStyle="TableStyleMedium2" defaultPivotStyle="PivotStyleLight16">
    <tableStyle name="TableStyleLight14 2" pivot="0" count="9">
      <tableStyleElement type="wholeTable" dxfId="322"/>
      <tableStyleElement type="headerRow" dxfId="321"/>
      <tableStyleElement type="totalRow" dxfId="320"/>
      <tableStyleElement type="firstColumn" dxfId="319"/>
      <tableStyleElement type="lastColumn" dxfId="318"/>
      <tableStyleElement type="firstRowStripe" dxfId="317"/>
      <tableStyleElement type="secondRowStripe" dxfId="316"/>
      <tableStyleElement type="firstColumnStripe" dxfId="315"/>
      <tableStyleElement type="secondColumnStripe" dxfId="3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2" name="Table2" displayName="Table2" ref="B8:O12" totalsRowCount="1">
  <autoFilter ref="B8:O1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sum" dataDxfId="313" totalsRowDxfId="312"/>
    <tableColumn id="3" name="FEBRERO" totalsRowFunction="sum" dataDxfId="311" totalsRowDxfId="310"/>
    <tableColumn id="4" name="MARZO" totalsRowFunction="sum" dataDxfId="309" totalsRowDxfId="308"/>
    <tableColumn id="5" name="ABRIL" totalsRowFunction="sum" dataDxfId="307" totalsRowDxfId="306"/>
    <tableColumn id="6" name="MAYO" totalsRowFunction="sum" dataDxfId="305" totalsRowDxfId="304"/>
    <tableColumn id="7" name="JUNIO" totalsRowFunction="sum" dataDxfId="303" totalsRowDxfId="302"/>
    <tableColumn id="8" name="JULIO" totalsRowFunction="sum" dataDxfId="301" totalsRowDxfId="300"/>
    <tableColumn id="9" name="AGOSTO" totalsRowFunction="sum" dataDxfId="299" totalsRowDxfId="298"/>
    <tableColumn id="10" name="SEPTIEMBRE" totalsRowFunction="sum" dataDxfId="297" totalsRowDxfId="296"/>
    <tableColumn id="11" name="OCTUBRE" totalsRowFunction="sum" dataDxfId="295" totalsRowDxfId="294"/>
    <tableColumn id="12" name="NOVIEMBRE" totalsRowFunction="sum" dataDxfId="293" totalsRowDxfId="292"/>
    <tableColumn id="13" name="DICIEMBRE" totalsRowFunction="sum" dataDxfId="291" totalsRowDxfId="290"/>
    <tableColumn id="14" name="ANUAL" totalsRowFunction="sum" dataDxfId="289" totalsRowDxfId="288"/>
  </tableColumns>
  <tableStyleInfo name="TableStyleLight14 2" showFirstColumn="0" showLastColumn="0" showRowStripes="1" showColumnStripes="0"/>
</table>
</file>

<file path=xl/tables/table10.xml><?xml version="1.0" encoding="utf-8"?>
<table xmlns="http://schemas.openxmlformats.org/spreadsheetml/2006/main" id="11" name="Table512" displayName="Table512" ref="B36:O40" totalsRowCount="1">
  <autoFilter ref="B36:O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sum" dataDxfId="92" totalsRowDxfId="91">
      <calculatedColumnFormula>C9*C27</calculatedColumnFormula>
    </tableColumn>
    <tableColumn id="3" name="FEBRERO" totalsRowFunction="sum" dataDxfId="90" totalsRowDxfId="89">
      <calculatedColumnFormula>D9*D27</calculatedColumnFormula>
    </tableColumn>
    <tableColumn id="4" name="MARZO" totalsRowFunction="sum" dataDxfId="88" totalsRowDxfId="87">
      <calculatedColumnFormula>E9*E27</calculatedColumnFormula>
    </tableColumn>
    <tableColumn id="5" name="ABRIL" totalsRowFunction="sum" dataDxfId="86" totalsRowDxfId="85">
      <calculatedColumnFormula>F9*F27</calculatedColumnFormula>
    </tableColumn>
    <tableColumn id="6" name="MAYO" totalsRowFunction="sum" dataDxfId="84" totalsRowDxfId="83">
      <calculatedColumnFormula>G9*G27</calculatedColumnFormula>
    </tableColumn>
    <tableColumn id="7" name="JUNIO" totalsRowFunction="sum" dataDxfId="82" totalsRowDxfId="81">
      <calculatedColumnFormula>H9*H27</calculatedColumnFormula>
    </tableColumn>
    <tableColumn id="8" name="JULIO" totalsRowFunction="sum" dataDxfId="80" totalsRowDxfId="79">
      <calculatedColumnFormula>I9*I27</calculatedColumnFormula>
    </tableColumn>
    <tableColumn id="9" name="AGOSTO" totalsRowFunction="sum" dataDxfId="78" totalsRowDxfId="77">
      <calculatedColumnFormula>J9*J27</calculatedColumnFormula>
    </tableColumn>
    <tableColumn id="10" name="SEPTIEMBRE" totalsRowFunction="sum" dataDxfId="76" totalsRowDxfId="75">
      <calculatedColumnFormula>K9*K27</calculatedColumnFormula>
    </tableColumn>
    <tableColumn id="11" name="OCTUBRE" totalsRowFunction="sum" dataDxfId="74" totalsRowDxfId="73">
      <calculatedColumnFormula>L9*L27</calculatedColumnFormula>
    </tableColumn>
    <tableColumn id="12" name="NOVIEMBRE" totalsRowFunction="sum" dataDxfId="72" totalsRowDxfId="71">
      <calculatedColumnFormula>M9*M27</calculatedColumnFormula>
    </tableColumn>
    <tableColumn id="13" name="DICIEMBRE" totalsRowFunction="sum" dataDxfId="70" totalsRowDxfId="69">
      <calculatedColumnFormula>N9*N27</calculatedColumnFormula>
    </tableColumn>
    <tableColumn id="14" name="ANUAL" totalsRowFunction="sum" dataDxfId="68" totalsRowDxfId="67">
      <calculatedColumnFormula>SUM((Table512[[#This Row],[ENERO]:[DICIEMBRE]]))</calculatedColumnFormula>
    </tableColumn>
  </tableColumns>
  <tableStyleInfo name="TableStyleLight14 2" showFirstColumn="0" showLastColumn="0" showRowStripes="1" showColumnStripes="0"/>
</table>
</file>

<file path=xl/tables/table11.xml><?xml version="1.0" encoding="utf-8"?>
<table xmlns="http://schemas.openxmlformats.org/spreadsheetml/2006/main" id="12" name="Table913" displayName="Table913" ref="B44:O48" totalsRowCount="1">
  <autoFilter ref="B44:O4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sum" dataDxfId="66" totalsRowDxfId="65">
      <calculatedColumnFormula>C37-C19</calculatedColumnFormula>
    </tableColumn>
    <tableColumn id="3" name="FEBRERO" totalsRowFunction="sum" dataDxfId="64" totalsRowDxfId="63">
      <calculatedColumnFormula>D37-D19</calculatedColumnFormula>
    </tableColumn>
    <tableColumn id="4" name="MARZO" totalsRowFunction="sum" dataDxfId="62" totalsRowDxfId="61">
      <calculatedColumnFormula>E37-E19</calculatedColumnFormula>
    </tableColumn>
    <tableColumn id="5" name="ABRIL" totalsRowFunction="sum" dataDxfId="60" totalsRowDxfId="59">
      <calculatedColumnFormula>F37-F19</calculatedColumnFormula>
    </tableColumn>
    <tableColumn id="6" name="MAYO" totalsRowFunction="sum" dataDxfId="58" totalsRowDxfId="57">
      <calculatedColumnFormula>G37-G19</calculatedColumnFormula>
    </tableColumn>
    <tableColumn id="7" name="JUNIO" totalsRowFunction="sum" dataDxfId="56" totalsRowDxfId="55">
      <calculatedColumnFormula>H37-H19</calculatedColumnFormula>
    </tableColumn>
    <tableColumn id="8" name="JULIO" totalsRowFunction="sum" dataDxfId="54" totalsRowDxfId="53">
      <calculatedColumnFormula>I37-I19</calculatedColumnFormula>
    </tableColumn>
    <tableColumn id="9" name="AGOSTO" totalsRowFunction="sum" dataDxfId="52" totalsRowDxfId="51">
      <calculatedColumnFormula>J37-J19</calculatedColumnFormula>
    </tableColumn>
    <tableColumn id="10" name="SEPTIEMBRE" totalsRowFunction="sum" dataDxfId="50" totalsRowDxfId="49">
      <calculatedColumnFormula>K37-K19</calculatedColumnFormula>
    </tableColumn>
    <tableColumn id="11" name="OCTUBRE" totalsRowFunction="sum" dataDxfId="48" totalsRowDxfId="47">
      <calculatedColumnFormula>L37-L19</calculatedColumnFormula>
    </tableColumn>
    <tableColumn id="12" name="NOVIEMBRE" totalsRowFunction="sum" dataDxfId="46" totalsRowDxfId="45">
      <calculatedColumnFormula>M37-M19</calculatedColumnFormula>
    </tableColumn>
    <tableColumn id="13" name="DICIEMBRE" totalsRowFunction="sum" dataDxfId="44" totalsRowDxfId="43">
      <calculatedColumnFormula>N37-N19</calculatedColumnFormula>
    </tableColumn>
    <tableColumn id="14" name="ANUAL" totalsRowFunction="sum" dataDxfId="42" totalsRowDxfId="41">
      <calculatedColumnFormula>SUM(C45:N45)</calculatedColumnFormula>
    </tableColumn>
  </tableColumns>
  <tableStyleInfo name="TableStyleLight14 2" showFirstColumn="0" showLastColumn="0" showRowStripes="1" showColumnStripes="0"/>
</table>
</file>

<file path=xl/tables/table12.xml><?xml version="1.0" encoding="utf-8"?>
<table xmlns="http://schemas.openxmlformats.org/spreadsheetml/2006/main" id="13" name="Table1014" displayName="Table1014" ref="B52:O56" totalsRowCount="1">
  <autoFilter ref="B52:O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average" totalsRowDxfId="40">
      <calculatedColumnFormula>C45/C37</calculatedColumnFormula>
    </tableColumn>
    <tableColumn id="3" name="FEBRERO" totalsRowFunction="average" totalsRowDxfId="39">
      <calculatedColumnFormula>D45/D37</calculatedColumnFormula>
    </tableColumn>
    <tableColumn id="4" name="MARZO" totalsRowFunction="average" totalsRowDxfId="38">
      <calculatedColumnFormula>E45/E37</calculatedColumnFormula>
    </tableColumn>
    <tableColumn id="5" name="ABRIL" totalsRowFunction="average" totalsRowDxfId="37">
      <calculatedColumnFormula>F45/F37</calculatedColumnFormula>
    </tableColumn>
    <tableColumn id="6" name="MAYO" totalsRowFunction="average" totalsRowDxfId="36">
      <calculatedColumnFormula>G45/G37</calculatedColumnFormula>
    </tableColumn>
    <tableColumn id="7" name="JUNIO" totalsRowFunction="average" totalsRowDxfId="35">
      <calculatedColumnFormula>H45/H37</calculatedColumnFormula>
    </tableColumn>
    <tableColumn id="8" name="JULIO" totalsRowFunction="average" totalsRowDxfId="34">
      <calculatedColumnFormula>I45/I37</calculatedColumnFormula>
    </tableColumn>
    <tableColumn id="9" name="AGOSTO" totalsRowFunction="average" totalsRowDxfId="33">
      <calculatedColumnFormula>J45/J37</calculatedColumnFormula>
    </tableColumn>
    <tableColumn id="10" name="SEPTIEMBRE" totalsRowFunction="average" totalsRowDxfId="32">
      <calculatedColumnFormula>K45/K37</calculatedColumnFormula>
    </tableColumn>
    <tableColumn id="11" name="OCTUBRE" totalsRowFunction="average" totalsRowDxfId="31">
      <calculatedColumnFormula>L45/L37</calculatedColumnFormula>
    </tableColumn>
    <tableColumn id="12" name="NOVIEMBRE" totalsRowFunction="average" totalsRowDxfId="30">
      <calculatedColumnFormula>M45/M37</calculatedColumnFormula>
    </tableColumn>
    <tableColumn id="13" name="DICIEMBRE" totalsRowFunction="average" totalsRowDxfId="29">
      <calculatedColumnFormula>N45/N37</calculatedColumnFormula>
    </tableColumn>
    <tableColumn id="14" name="ANUAL" totalsRowFunction="average" totalsRowDxfId="28">
      <calculatedColumnFormula>AVERAGE(C53:N53)</calculatedColumnFormula>
    </tableColumn>
  </tableColumns>
  <tableStyleInfo name="TableStyleLight14 2" showFirstColumn="0" showLastColumn="0" showRowStripes="1" showColumnStripes="0"/>
</table>
</file>

<file path=xl/tables/table13.xml><?xml version="1.0" encoding="utf-8"?>
<table xmlns="http://schemas.openxmlformats.org/spreadsheetml/2006/main" id="15" name="Table316" displayName="Table316" ref="B8:O12" totalsRowCount="1">
  <autoFilter ref="B8:O1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Producto" totalsRowLabel="Total"/>
    <tableColumn id="2" name="ENERO" totalsRowFunction="sum" dataDxfId="27"/>
    <tableColumn id="3" name="FEBRERO" totalsRowFunction="sum" dataDxfId="26"/>
    <tableColumn id="4" name="MARZO" totalsRowFunction="sum" dataDxfId="25"/>
    <tableColumn id="5" name="ABRIL" totalsRowFunction="sum" dataDxfId="24"/>
    <tableColumn id="6" name="MAYO" totalsRowFunction="sum" dataDxfId="23"/>
    <tableColumn id="7" name="JUNIO" totalsRowFunction="sum" dataDxfId="22"/>
    <tableColumn id="8" name="JULIO" totalsRowFunction="sum" dataDxfId="21"/>
    <tableColumn id="9" name="AGOSTO" totalsRowFunction="sum" dataDxfId="20"/>
    <tableColumn id="10" name="SEPTIEMBRE" totalsRowFunction="sum" dataDxfId="19"/>
    <tableColumn id="11" name="OCTUBRE" totalsRowFunction="sum" dataDxfId="18"/>
    <tableColumn id="12" name="NOVIEMBRE" totalsRowFunction="sum" dataDxfId="17"/>
    <tableColumn id="13" name="DICIEMBRE" totalsRowFunction="sum" dataDxfId="16"/>
    <tableColumn id="14" name="ANUAL" totalsRowFunction="sum" dataDxfId="15">
      <calculatedColumnFormula>SUM(Table316[[#This Row],[ENERO]:[DICIEMBRE]])</calculatedColumnFormula>
    </tableColumn>
  </tableColumns>
  <tableStyleInfo name="TableStyleLight14 2" showFirstColumn="0" showLastColumn="0" showRowStripes="1" showColumnStripes="0"/>
</table>
</file>

<file path=xl/tables/table14.xml><?xml version="1.0" encoding="utf-8"?>
<table xmlns="http://schemas.openxmlformats.org/spreadsheetml/2006/main" id="8" name="Table8" displayName="Table8" ref="B4:O7" totalsRowShown="0" tableBorderDxfId="14">
  <autoFilter ref="B4:O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Producto" dataDxfId="13"/>
    <tableColumn id="2" name="ENERO" dataDxfId="12"/>
    <tableColumn id="3" name="FEBRERO" dataDxfId="11"/>
    <tableColumn id="4" name="MARZO" dataDxfId="10"/>
    <tableColumn id="5" name="ABRIL" dataDxfId="9"/>
    <tableColumn id="6" name="MAYO" dataDxfId="8"/>
    <tableColumn id="7" name="JUNIO" dataDxfId="7"/>
    <tableColumn id="8" name="JULIO" dataDxfId="6"/>
    <tableColumn id="9" name="AGOSTO" dataDxfId="5"/>
    <tableColumn id="10" name="SEPTIEMBRE" dataDxfId="4"/>
    <tableColumn id="11" name="OCTUBRE" dataDxfId="3"/>
    <tableColumn id="12" name="NOVIEMBRE" dataDxfId="2"/>
    <tableColumn id="13" name="DICIEMBRE" dataDxfId="1"/>
    <tableColumn id="14" name="ANUAL" dataDxfId="0"/>
  </tableColumns>
  <tableStyleInfo name="TableStyleLight14 2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B18:O22" totalsRowCount="1">
  <autoFilter ref="B18:O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sum" dataDxfId="287" totalsRowDxfId="286"/>
    <tableColumn id="3" name="FEBRERO" totalsRowFunction="sum" dataDxfId="285" totalsRowDxfId="284"/>
    <tableColumn id="4" name="MARZO" totalsRowFunction="sum" dataDxfId="283" totalsRowDxfId="282"/>
    <tableColumn id="5" name="ABRIL" totalsRowFunction="sum" dataDxfId="281" totalsRowDxfId="280"/>
    <tableColumn id="6" name="MAYO" totalsRowFunction="sum" dataDxfId="279" totalsRowDxfId="278"/>
    <tableColumn id="7" name="JUNIO" totalsRowFunction="sum" dataDxfId="277" totalsRowDxfId="276"/>
    <tableColumn id="8" name="JULIO" totalsRowFunction="sum" dataDxfId="275" totalsRowDxfId="274"/>
    <tableColumn id="9" name="AGOSTO" totalsRowFunction="sum" dataDxfId="273" totalsRowDxfId="272"/>
    <tableColumn id="10" name="SEPTIEMBRE" totalsRowFunction="sum" dataDxfId="271" totalsRowDxfId="270"/>
    <tableColumn id="11" name="OCTUBRE" totalsRowFunction="sum" dataDxfId="269" totalsRowDxfId="268"/>
    <tableColumn id="12" name="NOVIEMBRE" totalsRowFunction="sum" dataDxfId="267" totalsRowDxfId="266"/>
    <tableColumn id="13" name="DICIEMBRE" totalsRowFunction="sum" dataDxfId="265" totalsRowDxfId="264"/>
    <tableColumn id="14" name="ANUAL" totalsRowFunction="sum" dataDxfId="263" totalsRowDxfId="262"/>
  </tableColumns>
  <tableStyleInfo name="TableStyleLight14 2" showFirstColumn="0" showLastColumn="0" showRowStripes="1" showColumnStripes="0"/>
</table>
</file>

<file path=xl/tables/table3.xml><?xml version="1.0" encoding="utf-8"?>
<table xmlns="http://schemas.openxmlformats.org/spreadsheetml/2006/main" id="4" name="Table4" displayName="Table4" ref="B26:O29">
  <autoFilter ref="B26:O2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sum" dataDxfId="261" totalsRowDxfId="260"/>
    <tableColumn id="3" name="FEBRERO" totalsRowFunction="sum" dataDxfId="259" totalsRowDxfId="258"/>
    <tableColumn id="4" name="MARZO" totalsRowFunction="sum" dataDxfId="257" totalsRowDxfId="256"/>
    <tableColumn id="5" name="ABRIL" totalsRowFunction="sum" dataDxfId="255" totalsRowDxfId="254"/>
    <tableColumn id="6" name="MAYO" totalsRowFunction="sum" dataDxfId="253" totalsRowDxfId="252"/>
    <tableColumn id="7" name="JUNIO" totalsRowFunction="sum" dataDxfId="251" totalsRowDxfId="250"/>
    <tableColumn id="8" name="JULIO" totalsRowFunction="sum" dataDxfId="249" totalsRowDxfId="248"/>
    <tableColumn id="9" name="AGOSTO" totalsRowFunction="sum" dataDxfId="247" totalsRowDxfId="246"/>
    <tableColumn id="10" name="SEPTIEMBRE" totalsRowFunction="sum" dataDxfId="245" totalsRowDxfId="244"/>
    <tableColumn id="11" name="OCTUBRE" totalsRowFunction="sum" dataDxfId="243" totalsRowDxfId="242"/>
    <tableColumn id="12" name="NOVIEMBRE" totalsRowFunction="sum" dataDxfId="241" totalsRowDxfId="240"/>
    <tableColumn id="13" name="DICIEMBRE" totalsRowFunction="sum" dataDxfId="239" totalsRowDxfId="238"/>
    <tableColumn id="14" name="PROMEDIO" totalsRowFunction="sum" dataDxfId="237" totalsRowDxfId="236"/>
  </tableColumns>
  <tableStyleInfo name="TableStyleLight14 2" showFirstColumn="0" showLastColumn="0" showRowStripes="1" showColumnStripes="0"/>
</table>
</file>

<file path=xl/tables/table4.xml><?xml version="1.0" encoding="utf-8"?>
<table xmlns="http://schemas.openxmlformats.org/spreadsheetml/2006/main" id="5" name="Table5" displayName="Table5" ref="B36:O40" totalsRowCount="1">
  <autoFilter ref="B36:O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sum" dataDxfId="235" totalsRowDxfId="234">
      <calculatedColumnFormula>PRODUCT((C9,C27))</calculatedColumnFormula>
    </tableColumn>
    <tableColumn id="3" name="FEBRERO" totalsRowFunction="sum" dataDxfId="233" totalsRowDxfId="232">
      <calculatedColumnFormula>PRODUCT((D9,D27))</calculatedColumnFormula>
    </tableColumn>
    <tableColumn id="4" name="MARZO" totalsRowFunction="sum" dataDxfId="231" totalsRowDxfId="230">
      <calculatedColumnFormula>PRODUCT((E9,E27))</calculatedColumnFormula>
    </tableColumn>
    <tableColumn id="5" name="ABRIL" totalsRowFunction="sum" dataDxfId="229" totalsRowDxfId="228">
      <calculatedColumnFormula>PRODUCT((F9,F27))</calculatedColumnFormula>
    </tableColumn>
    <tableColumn id="6" name="MAYO" totalsRowFunction="sum" dataDxfId="227" totalsRowDxfId="226">
      <calculatedColumnFormula>PRODUCT((G9,G27))</calculatedColumnFormula>
    </tableColumn>
    <tableColumn id="7" name="JUNIO" totalsRowFunction="sum" dataDxfId="225" totalsRowDxfId="224">
      <calculatedColumnFormula>PRODUCT((H9,H27))</calculatedColumnFormula>
    </tableColumn>
    <tableColumn id="8" name="JULIO" totalsRowFunction="sum" dataDxfId="223" totalsRowDxfId="222">
      <calculatedColumnFormula>PRODUCT((I9,I27))</calculatedColumnFormula>
    </tableColumn>
    <tableColumn id="9" name="AGOSTO" totalsRowFunction="sum" dataDxfId="221" totalsRowDxfId="220">
      <calculatedColumnFormula>PRODUCT((J9,J27))</calculatedColumnFormula>
    </tableColumn>
    <tableColumn id="10" name="SEPTIEMBRE" totalsRowFunction="sum" dataDxfId="219" totalsRowDxfId="218">
      <calculatedColumnFormula>PRODUCT((K9,K27))</calculatedColumnFormula>
    </tableColumn>
    <tableColumn id="11" name="OCTUBRE" totalsRowFunction="sum" dataDxfId="217" totalsRowDxfId="216">
      <calculatedColumnFormula>PRODUCT((L9,L27))</calculatedColumnFormula>
    </tableColumn>
    <tableColumn id="12" name="NOVIEMBRE" totalsRowFunction="sum" dataDxfId="215" totalsRowDxfId="214">
      <calculatedColumnFormula>PRODUCT((M9,M27))</calculatedColumnFormula>
    </tableColumn>
    <tableColumn id="13" name="DICIEMBRE" totalsRowFunction="sum" dataDxfId="213" totalsRowDxfId="212">
      <calculatedColumnFormula>PRODUCT((N9,N27))</calculatedColumnFormula>
    </tableColumn>
    <tableColumn id="14" name="ANUAL" totalsRowFunction="sum" dataDxfId="211" totalsRowDxfId="210">
      <calculatedColumnFormula>PRODUCT((O9,O27))</calculatedColumnFormula>
    </tableColumn>
  </tableColumns>
  <tableStyleInfo name="TableStyleLight14 2" showFirstColumn="0" showLastColumn="0" showRowStripes="1" showColumnStripes="0"/>
</table>
</file>

<file path=xl/tables/table5.xml><?xml version="1.0" encoding="utf-8"?>
<table xmlns="http://schemas.openxmlformats.org/spreadsheetml/2006/main" id="9" name="Table9" displayName="Table9" ref="B44:O48" totalsRowCount="1">
  <autoFilter ref="B44:O4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sum" dataDxfId="209" totalsRowDxfId="208">
      <calculatedColumnFormula>C37-C19</calculatedColumnFormula>
    </tableColumn>
    <tableColumn id="3" name="FEBRERO" totalsRowFunction="sum" dataDxfId="207" totalsRowDxfId="206">
      <calculatedColumnFormula>D37-D19</calculatedColumnFormula>
    </tableColumn>
    <tableColumn id="4" name="MARZO" totalsRowFunction="sum" dataDxfId="205" totalsRowDxfId="204">
      <calculatedColumnFormula>E37-E19</calculatedColumnFormula>
    </tableColumn>
    <tableColumn id="5" name="ABRIL" totalsRowFunction="sum" dataDxfId="203" totalsRowDxfId="202">
      <calculatedColumnFormula>F37-F19</calculatedColumnFormula>
    </tableColumn>
    <tableColumn id="6" name="MAYO" totalsRowFunction="sum" dataDxfId="201" totalsRowDxfId="200">
      <calculatedColumnFormula>G37-G19</calculatedColumnFormula>
    </tableColumn>
    <tableColumn id="7" name="JUNIO" totalsRowFunction="sum" dataDxfId="199" totalsRowDxfId="198">
      <calculatedColumnFormula>H37-H19</calculatedColumnFormula>
    </tableColumn>
    <tableColumn id="8" name="JULIO" totalsRowFunction="sum" dataDxfId="197" totalsRowDxfId="196">
      <calculatedColumnFormula>I37-I19</calculatedColumnFormula>
    </tableColumn>
    <tableColumn id="9" name="AGOSTO" totalsRowFunction="sum" dataDxfId="195" totalsRowDxfId="194">
      <calculatedColumnFormula>J37-J19</calculatedColumnFormula>
    </tableColumn>
    <tableColumn id="10" name="SEPTIEMBRE" totalsRowFunction="sum" dataDxfId="193" totalsRowDxfId="192">
      <calculatedColumnFormula>K37-K19</calculatedColumnFormula>
    </tableColumn>
    <tableColumn id="11" name="OCTUBRE" totalsRowFunction="sum" dataDxfId="191" totalsRowDxfId="190">
      <calculatedColumnFormula>L37-L19</calculatedColumnFormula>
    </tableColumn>
    <tableColumn id="12" name="NOVIEMBRE" totalsRowFunction="sum" dataDxfId="189" totalsRowDxfId="188">
      <calculatedColumnFormula>M37-M19</calculatedColumnFormula>
    </tableColumn>
    <tableColumn id="13" name="DICIEMBRE" totalsRowFunction="sum" dataDxfId="187" totalsRowDxfId="186">
      <calculatedColumnFormula>N37-N19</calculatedColumnFormula>
    </tableColumn>
    <tableColumn id="14" name="ANUAL" totalsRowFunction="sum" dataDxfId="185" totalsRowDxfId="184">
      <calculatedColumnFormula>SUM(C45:N45)</calculatedColumnFormula>
    </tableColumn>
  </tableColumns>
  <tableStyleInfo name="TableStyleLight14 2" showFirstColumn="0" showLastColumn="0" showRowStripes="1" showColumnStripes="0"/>
</table>
</file>

<file path=xl/tables/table6.xml><?xml version="1.0" encoding="utf-8"?>
<table xmlns="http://schemas.openxmlformats.org/spreadsheetml/2006/main" id="10" name="Table10" displayName="Table10" ref="B52:O56" totalsRowCount="1">
  <autoFilter ref="B52:O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Bebida" totalsRowLabel="Total"/>
    <tableColumn id="2" name="ENERO" totalsRowFunction="average" totalsRowDxfId="183">
      <calculatedColumnFormula>C45/C37</calculatedColumnFormula>
    </tableColumn>
    <tableColumn id="3" name="FEBRERO" totalsRowFunction="average" totalsRowDxfId="182">
      <calculatedColumnFormula>D45/D37</calculatedColumnFormula>
    </tableColumn>
    <tableColumn id="4" name="MARZO" totalsRowFunction="average" totalsRowDxfId="181">
      <calculatedColumnFormula>E45/E37</calculatedColumnFormula>
    </tableColumn>
    <tableColumn id="5" name="ABRIL" totalsRowFunction="average" totalsRowDxfId="180">
      <calculatedColumnFormula>F45/F37</calculatedColumnFormula>
    </tableColumn>
    <tableColumn id="6" name="MAYO" totalsRowFunction="average" totalsRowDxfId="179">
      <calculatedColumnFormula>G45/G37</calculatedColumnFormula>
    </tableColumn>
    <tableColumn id="7" name="JUNIO" totalsRowFunction="average" totalsRowDxfId="178">
      <calculatedColumnFormula>H45/H37</calculatedColumnFormula>
    </tableColumn>
    <tableColumn id="8" name="JULIO" totalsRowFunction="average" totalsRowDxfId="177">
      <calculatedColumnFormula>I45/I37</calculatedColumnFormula>
    </tableColumn>
    <tableColumn id="9" name="AGOSTO" totalsRowFunction="average" totalsRowDxfId="176">
      <calculatedColumnFormula>J45/J37</calculatedColumnFormula>
    </tableColumn>
    <tableColumn id="10" name="SEPTIEMBRE" totalsRowFunction="average" totalsRowDxfId="175">
      <calculatedColumnFormula>K45/K37</calculatedColumnFormula>
    </tableColumn>
    <tableColumn id="11" name="OCTUBRE" totalsRowFunction="average" totalsRowDxfId="174">
      <calculatedColumnFormula>L45/L37</calculatedColumnFormula>
    </tableColumn>
    <tableColumn id="12" name="NOVIEMBRE" totalsRowFunction="average" totalsRowDxfId="173">
      <calculatedColumnFormula>M45/M37</calculatedColumnFormula>
    </tableColumn>
    <tableColumn id="13" name="DICIEMBRE" totalsRowFunction="average" totalsRowDxfId="172">
      <calculatedColumnFormula>N45/N37</calculatedColumnFormula>
    </tableColumn>
    <tableColumn id="14" name="ANUAL" totalsRowFunction="average" totalsRowDxfId="171">
      <calculatedColumnFormula>AVERAGE(C53:N53)</calculatedColumnFormula>
    </tableColumn>
  </tableColumns>
  <tableStyleInfo name="TableStyleLight14 2" showFirstColumn="0" showLastColumn="0" showRowStripes="1" showColumnStripes="0"/>
</table>
</file>

<file path=xl/tables/table7.xml><?xml version="1.0" encoding="utf-8"?>
<table xmlns="http://schemas.openxmlformats.org/spreadsheetml/2006/main" id="1" name="Table22" displayName="Table22" ref="B8:O12" totalsRowCount="1">
  <autoFilter ref="B8:O1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sum" dataDxfId="170" totalsRowDxfId="169"/>
    <tableColumn id="3" name="FEBRERO" totalsRowFunction="sum" dataDxfId="168" totalsRowDxfId="167"/>
    <tableColumn id="4" name="MARZO" totalsRowFunction="sum" dataDxfId="166" totalsRowDxfId="165"/>
    <tableColumn id="5" name="ABRIL" totalsRowFunction="sum" dataDxfId="164" totalsRowDxfId="163"/>
    <tableColumn id="6" name="MAYO" totalsRowFunction="sum" dataDxfId="162" totalsRowDxfId="161"/>
    <tableColumn id="7" name="JUNIO" totalsRowFunction="sum" dataDxfId="160" totalsRowDxfId="159"/>
    <tableColumn id="8" name="JULIO" totalsRowFunction="sum" dataDxfId="158" totalsRowDxfId="157"/>
    <tableColumn id="9" name="AGOSTO" totalsRowFunction="sum" dataDxfId="156" totalsRowDxfId="155"/>
    <tableColumn id="10" name="SEPTIEMBRE" totalsRowFunction="sum" dataDxfId="154" totalsRowDxfId="153"/>
    <tableColumn id="11" name="OCTUBRE" totalsRowFunction="sum" dataDxfId="152" totalsRowDxfId="151"/>
    <tableColumn id="12" name="NOVIEMBRE" totalsRowFunction="sum" dataDxfId="150" totalsRowDxfId="149"/>
    <tableColumn id="13" name="DICIEMBRE" totalsRowFunction="sum" dataDxfId="148" totalsRowDxfId="147"/>
    <tableColumn id="14" name="ANUAL" totalsRowFunction="sum" dataDxfId="146" totalsRowDxfId="145">
      <calculatedColumnFormula>SUM(Comidas!$C9:$N9)</calculatedColumnFormula>
    </tableColumn>
  </tableColumns>
  <tableStyleInfo name="TableStyleLight14 2" showFirstColumn="0" showLastColumn="0" showRowStripes="1" showColumnStripes="0"/>
</table>
</file>

<file path=xl/tables/table8.xml><?xml version="1.0" encoding="utf-8"?>
<table xmlns="http://schemas.openxmlformats.org/spreadsheetml/2006/main" id="6" name="Table37" displayName="Table37" ref="B18:O22" totalsRowCount="1">
  <autoFilter ref="B18:O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sum" dataDxfId="144" totalsRowDxfId="143"/>
    <tableColumn id="3" name="FEBRERO" totalsRowFunction="sum" dataDxfId="142" totalsRowDxfId="141"/>
    <tableColumn id="4" name="MARZO" totalsRowFunction="sum" dataDxfId="140" totalsRowDxfId="139"/>
    <tableColumn id="5" name="ABRIL" totalsRowFunction="sum" dataDxfId="138" totalsRowDxfId="137"/>
    <tableColumn id="6" name="MAYO" totalsRowFunction="sum" dataDxfId="136" totalsRowDxfId="135"/>
    <tableColumn id="7" name="JUNIO" totalsRowFunction="sum" dataDxfId="134" totalsRowDxfId="133"/>
    <tableColumn id="8" name="JULIO" totalsRowFunction="sum" dataDxfId="132" totalsRowDxfId="131"/>
    <tableColumn id="9" name="AGOSTO" totalsRowFunction="sum" dataDxfId="130" totalsRowDxfId="129"/>
    <tableColumn id="10" name="SEPTIEMBRE" totalsRowFunction="sum" dataDxfId="128" totalsRowDxfId="127"/>
    <tableColumn id="11" name="OCTUBRE" totalsRowFunction="sum" dataDxfId="126" totalsRowDxfId="125"/>
    <tableColumn id="12" name="NOVIEMBRE" totalsRowFunction="sum" dataDxfId="124" totalsRowDxfId="123"/>
    <tableColumn id="13" name="DICIEMBRE" totalsRowFunction="sum" dataDxfId="122" totalsRowDxfId="121"/>
    <tableColumn id="14" name="ANUAL" totalsRowFunction="sum" dataDxfId="120" totalsRowDxfId="119">
      <calculatedColumnFormula>SUM(Table37[[#This Row],[ENERO]:[DICIEMBRE]])</calculatedColumnFormula>
    </tableColumn>
  </tableColumns>
  <tableStyleInfo name="TableStyleLight14 2" showFirstColumn="0" showLastColumn="0" showRowStripes="1" showColumnStripes="0"/>
</table>
</file>

<file path=xl/tables/table9.xml><?xml version="1.0" encoding="utf-8"?>
<table xmlns="http://schemas.openxmlformats.org/spreadsheetml/2006/main" id="7" name="Table48" displayName="Table48" ref="B26:O29">
  <autoFilter ref="B26:O2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name="Comida" totalsRowLabel="Total"/>
    <tableColumn id="2" name="ENERO" totalsRowFunction="sum" dataDxfId="118" totalsRowDxfId="117"/>
    <tableColumn id="3" name="FEBRERO" totalsRowFunction="sum" dataDxfId="116" totalsRowDxfId="115"/>
    <tableColumn id="4" name="MARZO" totalsRowFunction="sum" dataDxfId="114" totalsRowDxfId="113"/>
    <tableColumn id="5" name="ABRIL" totalsRowFunction="sum" dataDxfId="112" totalsRowDxfId="111"/>
    <tableColumn id="6" name="MAYO" totalsRowFunction="sum" dataDxfId="110" totalsRowDxfId="109"/>
    <tableColumn id="7" name="JUNIO" totalsRowFunction="sum" dataDxfId="108" totalsRowDxfId="107"/>
    <tableColumn id="8" name="JULIO" totalsRowFunction="sum" dataDxfId="106" totalsRowDxfId="105"/>
    <tableColumn id="9" name="AGOSTO" totalsRowFunction="sum" dataDxfId="104" totalsRowDxfId="103"/>
    <tableColumn id="10" name="SEPTIEMBRE" totalsRowFunction="sum" dataDxfId="102" totalsRowDxfId="101"/>
    <tableColumn id="11" name="OCTUBRE" totalsRowFunction="sum" dataDxfId="100" totalsRowDxfId="99"/>
    <tableColumn id="12" name="NOVIEMBRE" totalsRowFunction="sum" dataDxfId="98" totalsRowDxfId="97"/>
    <tableColumn id="13" name="DICIEMBRE" totalsRowFunction="sum" dataDxfId="96" totalsRowDxfId="95"/>
    <tableColumn id="14" name="PROMEDIO" totalsRowFunction="sum" dataDxfId="94" totalsRowDxfId="93">
      <calculatedColumnFormula>AVERAGE(Table48[[#This Row],[ENERO]:[DICIEMBRE]])</calculatedColumnFormula>
    </tableColumn>
  </tableColumns>
  <tableStyleInfo name="TableStyleLight14 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9"/>
  <sheetViews>
    <sheetView showGridLines="0" tabSelected="1" topLeftCell="A21" zoomScale="70" zoomScaleNormal="70" workbookViewId="0">
      <selection activeCell="D28" sqref="D28"/>
    </sheetView>
  </sheetViews>
  <sheetFormatPr baseColWidth="10" defaultColWidth="9.140625" defaultRowHeight="12.75" x14ac:dyDescent="0.2"/>
  <cols>
    <col min="1" max="1" width="7.140625" style="2" customWidth="1"/>
    <col min="2" max="2" width="79.42578125" style="2" bestFit="1" customWidth="1"/>
    <col min="3" max="8" width="16.5703125" style="2" bestFit="1" customWidth="1"/>
    <col min="9" max="10" width="17.7109375" style="2" bestFit="1" customWidth="1"/>
    <col min="11" max="11" width="19.42578125" style="2" bestFit="1" customWidth="1"/>
    <col min="12" max="12" width="17.7109375" style="2" bestFit="1" customWidth="1"/>
    <col min="13" max="13" width="18.28515625" style="2" bestFit="1" customWidth="1"/>
    <col min="14" max="15" width="17.7109375" style="2" bestFit="1" customWidth="1"/>
    <col min="16" max="16" width="19.42578125" style="2" bestFit="1" customWidth="1"/>
    <col min="17" max="17" width="5.7109375" style="2" customWidth="1"/>
    <col min="18" max="65" width="25.28515625" style="2" bestFit="1" customWidth="1"/>
    <col min="66" max="66" width="24.85546875" style="2" bestFit="1" customWidth="1"/>
    <col min="67" max="67" width="28.140625" style="2" bestFit="1" customWidth="1"/>
    <col min="68" max="68" width="25.28515625" style="2" bestFit="1" customWidth="1"/>
    <col min="69" max="71" width="23.85546875" style="2" bestFit="1" customWidth="1"/>
    <col min="72" max="72" width="23.5703125" style="2" bestFit="1" customWidth="1"/>
    <col min="73" max="73" width="27.28515625" style="2" bestFit="1" customWidth="1"/>
    <col min="74" max="74" width="32" style="2" bestFit="1" customWidth="1"/>
    <col min="75" max="75" width="28.28515625" style="2" bestFit="1" customWidth="1"/>
    <col min="76" max="76" width="30.7109375" style="2" bestFit="1" customWidth="1"/>
    <col min="77" max="77" width="29.5703125" style="2" bestFit="1" customWidth="1"/>
    <col min="78" max="16384" width="9.140625" style="2"/>
  </cols>
  <sheetData>
    <row r="1" spans="1:77" ht="15.75" x14ac:dyDescent="0.25">
      <c r="B1" s="1"/>
      <c r="P1" s="3"/>
    </row>
    <row r="2" spans="1:77" customFormat="1" ht="30" customHeight="1" x14ac:dyDescent="0.25">
      <c r="A2" s="18"/>
      <c r="B2" s="18" t="s">
        <v>40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77" s="4" customFormat="1" ht="15" customHeight="1" x14ac:dyDescent="0.2"/>
    <row r="4" spans="1:77" s="4" customFormat="1" ht="19.5" customHeight="1" x14ac:dyDescent="0.2">
      <c r="B4" s="19" t="s">
        <v>0</v>
      </c>
    </row>
    <row r="5" spans="1:77" s="4" customFormat="1" ht="7.5" customHeight="1" x14ac:dyDescent="0.25">
      <c r="P5"/>
    </row>
    <row r="6" spans="1:77" s="4" customFormat="1" ht="15" x14ac:dyDescent="0.25">
      <c r="P6"/>
    </row>
    <row r="7" spans="1:77" s="4" customFormat="1" ht="18.75" x14ac:dyDescent="0.3">
      <c r="B7" s="32" t="s">
        <v>21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/>
    </row>
    <row r="8" spans="1:77" s="5" customFormat="1" ht="15" customHeight="1" x14ac:dyDescent="0.25">
      <c r="B8" t="s">
        <v>41</v>
      </c>
      <c r="C8" t="s">
        <v>1</v>
      </c>
      <c r="D8" t="s">
        <v>2</v>
      </c>
      <c r="E8" t="s">
        <v>3</v>
      </c>
      <c r="F8" t="s">
        <v>4</v>
      </c>
      <c r="G8" t="s">
        <v>5</v>
      </c>
      <c r="H8" t="s">
        <v>6</v>
      </c>
      <c r="I8" t="s">
        <v>7</v>
      </c>
      <c r="J8" t="s">
        <v>8</v>
      </c>
      <c r="K8" t="s">
        <v>9</v>
      </c>
      <c r="L8" t="s">
        <v>10</v>
      </c>
      <c r="M8" t="s">
        <v>11</v>
      </c>
      <c r="N8" t="s">
        <v>12</v>
      </c>
      <c r="O8" t="s">
        <v>13</v>
      </c>
      <c r="P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1:77" s="8" customFormat="1" ht="15" customHeight="1" x14ac:dyDescent="0.25">
      <c r="B9" t="s">
        <v>34</v>
      </c>
      <c r="C9" s="21">
        <v>100</v>
      </c>
      <c r="D9" s="21">
        <v>200</v>
      </c>
      <c r="E9" s="21">
        <v>300</v>
      </c>
      <c r="F9" s="21">
        <v>200</v>
      </c>
      <c r="G9" s="21">
        <v>200</v>
      </c>
      <c r="H9" s="21">
        <v>500</v>
      </c>
      <c r="I9" s="21">
        <v>500</v>
      </c>
      <c r="J9" s="21">
        <v>500</v>
      </c>
      <c r="K9" s="21">
        <v>500</v>
      </c>
      <c r="L9" s="21">
        <v>500</v>
      </c>
      <c r="M9" s="21">
        <v>500</v>
      </c>
      <c r="N9" s="21">
        <v>500</v>
      </c>
      <c r="O9" s="21">
        <f>SUM(Bebidas!$C9:$N9)</f>
        <v>4500</v>
      </c>
      <c r="P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1:77" s="8" customFormat="1" ht="15" customHeight="1" x14ac:dyDescent="0.25">
      <c r="B10" t="s">
        <v>35</v>
      </c>
      <c r="C10" s="21">
        <v>300</v>
      </c>
      <c r="D10" s="21">
        <v>500</v>
      </c>
      <c r="E10" s="21">
        <v>500</v>
      </c>
      <c r="F10" s="21">
        <v>500</v>
      </c>
      <c r="G10" s="21">
        <v>500</v>
      </c>
      <c r="H10" s="21">
        <v>500</v>
      </c>
      <c r="I10" s="21">
        <v>700</v>
      </c>
      <c r="J10" s="21">
        <v>700</v>
      </c>
      <c r="K10" s="21">
        <v>700</v>
      </c>
      <c r="L10" s="21">
        <v>700</v>
      </c>
      <c r="M10" s="21">
        <v>700</v>
      </c>
      <c r="N10" s="21">
        <v>700</v>
      </c>
      <c r="O10" s="21">
        <f>SUM(Bebidas!$C10:$N10)</f>
        <v>7000</v>
      </c>
      <c r="P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1:77" s="8" customFormat="1" ht="15" customHeight="1" x14ac:dyDescent="0.25">
      <c r="B11" t="s">
        <v>36</v>
      </c>
      <c r="C11" s="21">
        <v>100</v>
      </c>
      <c r="D11" s="21">
        <v>100</v>
      </c>
      <c r="E11" s="21">
        <v>100</v>
      </c>
      <c r="F11" s="21">
        <v>100</v>
      </c>
      <c r="G11" s="21">
        <v>100</v>
      </c>
      <c r="H11" s="21">
        <v>100</v>
      </c>
      <c r="I11" s="21">
        <v>100</v>
      </c>
      <c r="J11" s="21">
        <v>100</v>
      </c>
      <c r="K11" s="21">
        <v>100</v>
      </c>
      <c r="L11" s="21">
        <v>100</v>
      </c>
      <c r="M11" s="21">
        <v>100</v>
      </c>
      <c r="N11" s="21">
        <v>100</v>
      </c>
      <c r="O11" s="21">
        <f>SUM(Bebidas!$C11:$N11)</f>
        <v>1200</v>
      </c>
      <c r="P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1:77" s="8" customFormat="1" ht="15" customHeight="1" x14ac:dyDescent="0.25">
      <c r="B12" t="s">
        <v>19</v>
      </c>
      <c r="C12" s="21">
        <f>SUBTOTAL(109,Table2[ENERO])</f>
        <v>500</v>
      </c>
      <c r="D12" s="21">
        <f>SUBTOTAL(109,Table2[FEBRERO])</f>
        <v>800</v>
      </c>
      <c r="E12" s="21">
        <f>SUBTOTAL(109,Table2[MARZO])</f>
        <v>900</v>
      </c>
      <c r="F12" s="21">
        <f>SUBTOTAL(109,Table2[ABRIL])</f>
        <v>800</v>
      </c>
      <c r="G12" s="21">
        <f>SUBTOTAL(109,Table2[MAYO])</f>
        <v>800</v>
      </c>
      <c r="H12" s="21">
        <f>SUBTOTAL(109,Table2[JUNIO])</f>
        <v>1100</v>
      </c>
      <c r="I12" s="21">
        <f>SUBTOTAL(109,Table2[JULIO])</f>
        <v>1300</v>
      </c>
      <c r="J12" s="21">
        <f>SUBTOTAL(109,Table2[AGOSTO])</f>
        <v>1300</v>
      </c>
      <c r="K12" s="21">
        <f>SUBTOTAL(109,Table2[SEPTIEMBRE])</f>
        <v>1300</v>
      </c>
      <c r="L12" s="21">
        <f>SUBTOTAL(109,Table2[OCTUBRE])</f>
        <v>1300</v>
      </c>
      <c r="M12" s="21">
        <f>SUBTOTAL(109,Table2[NOVIEMBRE])</f>
        <v>1300</v>
      </c>
      <c r="N12" s="21">
        <f>SUBTOTAL(109,Table2[DICIEMBRE])</f>
        <v>1300</v>
      </c>
      <c r="O12" s="21">
        <f>SUBTOTAL(109,Table2[ANUAL])</f>
        <v>12700</v>
      </c>
      <c r="P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77" s="8" customFormat="1" ht="15" customHeight="1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77" s="8" customFormat="1" ht="1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77" customFormat="1" ht="15" customHeight="1" x14ac:dyDescent="0.25">
      <c r="A15" s="8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pans="1:77" customFormat="1" ht="15" customHeight="1" x14ac:dyDescent="0.25">
      <c r="A16" s="8"/>
      <c r="B16" s="9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2:16384" s="1" customFormat="1" ht="18.75" x14ac:dyDescent="0.3">
      <c r="B17" s="32" t="s">
        <v>22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2:16384" s="8" customFormat="1" ht="15" customHeight="1" x14ac:dyDescent="0.25">
      <c r="B18" t="s">
        <v>41</v>
      </c>
      <c r="C18" t="s">
        <v>1</v>
      </c>
      <c r="D18" t="s">
        <v>2</v>
      </c>
      <c r="E18" t="s">
        <v>3</v>
      </c>
      <c r="F18" t="s">
        <v>4</v>
      </c>
      <c r="G18" t="s">
        <v>5</v>
      </c>
      <c r="H18" t="s">
        <v>6</v>
      </c>
      <c r="I18" t="s">
        <v>7</v>
      </c>
      <c r="J18" t="s">
        <v>8</v>
      </c>
      <c r="K18" t="s">
        <v>9</v>
      </c>
      <c r="L18" t="s">
        <v>10</v>
      </c>
      <c r="M18" t="s">
        <v>11</v>
      </c>
      <c r="N18" t="s">
        <v>12</v>
      </c>
      <c r="O18" t="s">
        <v>13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2:16384" s="8" customFormat="1" ht="15" customHeight="1" x14ac:dyDescent="0.25">
      <c r="B19" t="s">
        <v>34</v>
      </c>
      <c r="C19" s="21">
        <v>800</v>
      </c>
      <c r="D19" s="21">
        <v>800</v>
      </c>
      <c r="E19" s="21">
        <v>1300</v>
      </c>
      <c r="F19" s="21">
        <v>1300</v>
      </c>
      <c r="G19" s="21">
        <v>1300</v>
      </c>
      <c r="H19" s="21">
        <v>1300</v>
      </c>
      <c r="I19" s="21">
        <v>4000</v>
      </c>
      <c r="J19" s="21">
        <v>4500</v>
      </c>
      <c r="K19" s="21">
        <v>4500</v>
      </c>
      <c r="L19" s="21">
        <v>4500</v>
      </c>
      <c r="M19" s="21">
        <v>4500</v>
      </c>
      <c r="N19" s="21">
        <v>1000</v>
      </c>
      <c r="O19" s="21">
        <f>SUM(Table3[[#This Row],[ENERO]:[DICIEMBRE]])</f>
        <v>29800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2:16384" s="8" customFormat="1" ht="15" customHeight="1" x14ac:dyDescent="0.25">
      <c r="B20" t="s">
        <v>35</v>
      </c>
      <c r="C20" s="21">
        <v>1400</v>
      </c>
      <c r="D20" s="21">
        <v>1500</v>
      </c>
      <c r="E20" s="21">
        <v>1500</v>
      </c>
      <c r="F20" s="21">
        <v>1500</v>
      </c>
      <c r="G20" s="21">
        <v>1500</v>
      </c>
      <c r="H20" s="21">
        <v>900</v>
      </c>
      <c r="I20" s="21">
        <v>3000</v>
      </c>
      <c r="J20" s="21">
        <v>3000</v>
      </c>
      <c r="K20" s="21">
        <v>3000</v>
      </c>
      <c r="L20" s="21">
        <v>3000</v>
      </c>
      <c r="M20" s="21">
        <v>3000</v>
      </c>
      <c r="N20" s="21">
        <v>3000</v>
      </c>
      <c r="O20" s="21">
        <f>SUM(Table3[[#This Row],[ENERO]:[DICIEMBRE]])</f>
        <v>26300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2:16384" s="8" customFormat="1" ht="15" customHeight="1" x14ac:dyDescent="0.25">
      <c r="B21" t="s">
        <v>36</v>
      </c>
      <c r="C21" s="21">
        <v>1900</v>
      </c>
      <c r="D21" s="21">
        <v>1900</v>
      </c>
      <c r="E21" s="21">
        <v>1900</v>
      </c>
      <c r="F21" s="21">
        <v>1900</v>
      </c>
      <c r="G21" s="21">
        <v>1900</v>
      </c>
      <c r="H21" s="21">
        <v>1050</v>
      </c>
      <c r="I21" s="21">
        <v>1050</v>
      </c>
      <c r="J21" s="21">
        <v>1050</v>
      </c>
      <c r="K21" s="21">
        <v>1050</v>
      </c>
      <c r="L21" s="21">
        <v>1050</v>
      </c>
      <c r="M21" s="21">
        <v>1050</v>
      </c>
      <c r="N21" s="21">
        <v>1050</v>
      </c>
      <c r="O21" s="21">
        <f>SUM(Table3[[#This Row],[ENERO]:[DICIEMBRE]])</f>
        <v>16850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2:16384" s="8" customFormat="1" ht="15" customHeight="1" x14ac:dyDescent="0.25">
      <c r="B22" t="s">
        <v>19</v>
      </c>
      <c r="C22" s="21">
        <f>SUBTOTAL(109,Table3[ENERO])</f>
        <v>4100</v>
      </c>
      <c r="D22" s="21">
        <f>SUBTOTAL(109,Table3[FEBRERO])</f>
        <v>4200</v>
      </c>
      <c r="E22" s="21">
        <f>SUBTOTAL(109,Table3[MARZO])</f>
        <v>4700</v>
      </c>
      <c r="F22" s="21">
        <f>SUBTOTAL(109,Table3[ABRIL])</f>
        <v>4700</v>
      </c>
      <c r="G22" s="21">
        <f>SUBTOTAL(109,Table3[MAYO])</f>
        <v>4700</v>
      </c>
      <c r="H22" s="21">
        <f>SUBTOTAL(109,Table3[JUNIO])</f>
        <v>3250</v>
      </c>
      <c r="I22" s="21">
        <f>SUBTOTAL(109,Table3[JULIO])</f>
        <v>8050</v>
      </c>
      <c r="J22" s="21">
        <f>SUBTOTAL(109,Table3[AGOSTO])</f>
        <v>8550</v>
      </c>
      <c r="K22" s="21">
        <f>SUBTOTAL(109,Table3[SEPTIEMBRE])</f>
        <v>8550</v>
      </c>
      <c r="L22" s="21">
        <f>SUBTOTAL(109,Table3[OCTUBRE])</f>
        <v>8550</v>
      </c>
      <c r="M22" s="21">
        <f>SUBTOTAL(109,Table3[NOVIEMBRE])</f>
        <v>8550</v>
      </c>
      <c r="N22" s="21">
        <f>SUBTOTAL(109,Table3[DICIEMBRE])</f>
        <v>5050</v>
      </c>
      <c r="O22" s="21">
        <f>SUBTOTAL(109,Table3[ANUAL])</f>
        <v>72950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2:16384" s="1" customFormat="1" ht="15.75" x14ac:dyDescent="0.25"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2:16384" s="1" customFormat="1" ht="15.75" x14ac:dyDescent="0.25">
      <c r="B24" s="9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2:16384" s="8" customFormat="1" ht="15" customHeight="1" x14ac:dyDescent="0.3">
      <c r="B25" s="32" t="s">
        <v>25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</row>
    <row r="26" spans="2:16384" s="8" customFormat="1" ht="15" customHeight="1" x14ac:dyDescent="0.25">
      <c r="B26" t="s">
        <v>41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26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2:16384" s="8" customFormat="1" ht="15" customHeight="1" x14ac:dyDescent="0.25">
      <c r="B27" t="s">
        <v>34</v>
      </c>
      <c r="C27" s="21">
        <v>10</v>
      </c>
      <c r="D27" s="21">
        <v>10</v>
      </c>
      <c r="E27" s="21">
        <v>10</v>
      </c>
      <c r="F27" s="21">
        <v>10</v>
      </c>
      <c r="G27" s="21">
        <v>10</v>
      </c>
      <c r="H27" s="21">
        <v>10</v>
      </c>
      <c r="I27" s="21">
        <v>12</v>
      </c>
      <c r="J27" s="21">
        <v>15</v>
      </c>
      <c r="K27" s="21">
        <v>17</v>
      </c>
      <c r="L27" s="21">
        <v>18.5</v>
      </c>
      <c r="M27" s="21">
        <v>19</v>
      </c>
      <c r="N27" s="21">
        <v>20</v>
      </c>
      <c r="O27" s="21">
        <f>AVERAGE(Table4[[#This Row],[ENERO]:[DICIEMBRE]])</f>
        <v>13.458333333333334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2:16384" s="8" customFormat="1" ht="15" customHeight="1" x14ac:dyDescent="0.25">
      <c r="B28" t="s">
        <v>35</v>
      </c>
      <c r="C28" s="21">
        <v>5</v>
      </c>
      <c r="D28" s="21">
        <v>5</v>
      </c>
      <c r="E28" s="21">
        <v>5</v>
      </c>
      <c r="F28" s="21">
        <v>5</v>
      </c>
      <c r="G28" s="21">
        <v>5</v>
      </c>
      <c r="H28" s="21">
        <v>5</v>
      </c>
      <c r="I28" s="21">
        <v>5</v>
      </c>
      <c r="J28" s="21">
        <v>5</v>
      </c>
      <c r="K28" s="21">
        <v>5</v>
      </c>
      <c r="L28" s="21">
        <v>5</v>
      </c>
      <c r="M28" s="21">
        <v>5</v>
      </c>
      <c r="N28" s="21">
        <v>5</v>
      </c>
      <c r="O28" s="21">
        <f>AVERAGE(Table4[[#This Row],[ENERO]:[DICIEMBRE]])</f>
        <v>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2:16384" s="8" customFormat="1" ht="15" customHeight="1" x14ac:dyDescent="0.25">
      <c r="B29" t="s">
        <v>36</v>
      </c>
      <c r="C29" s="21">
        <v>24</v>
      </c>
      <c r="D29" s="21">
        <v>24</v>
      </c>
      <c r="E29" s="21">
        <v>24</v>
      </c>
      <c r="F29" s="21">
        <v>24</v>
      </c>
      <c r="G29" s="21">
        <v>24</v>
      </c>
      <c r="H29" s="21">
        <v>24</v>
      </c>
      <c r="I29" s="21">
        <v>24</v>
      </c>
      <c r="J29" s="21">
        <v>24</v>
      </c>
      <c r="K29" s="21">
        <v>24</v>
      </c>
      <c r="L29" s="21">
        <v>24</v>
      </c>
      <c r="M29" s="21">
        <v>24</v>
      </c>
      <c r="N29" s="21">
        <v>24</v>
      </c>
      <c r="O29" s="21">
        <f>AVERAGE(Table4[[#This Row],[ENERO]:[DICIEMBRE]])</f>
        <v>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2:16384" s="8" customFormat="1" ht="15" customHeight="1" x14ac:dyDescent="0.25">
      <c r="B30" s="9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2:16384" s="8" customFormat="1" ht="15.75" x14ac:dyDescent="0.25">
      <c r="B31" s="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2:16384" s="1" customFormat="1" ht="15.75" x14ac:dyDescent="0.25">
      <c r="B32" s="9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31" customFormat="1" ht="18.75" x14ac:dyDescent="0.25">
      <c r="A33" s="1"/>
      <c r="B33" s="19" t="s">
        <v>17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1:31" customFormat="1" ht="15" customHeight="1" x14ac:dyDescent="0.25">
      <c r="A34" s="8"/>
      <c r="B34" s="1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1:31" s="8" customFormat="1" ht="15" customHeight="1" x14ac:dyDescent="0.3">
      <c r="B35" s="32" t="s">
        <v>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/>
      <c r="Q35" s="14"/>
    </row>
    <row r="36" spans="1:31" s="8" customFormat="1" ht="15" customHeight="1" x14ac:dyDescent="0.25">
      <c r="B36" t="s">
        <v>41</v>
      </c>
      <c r="C36" t="s">
        <v>1</v>
      </c>
      <c r="D36" t="s">
        <v>2</v>
      </c>
      <c r="E36" t="s">
        <v>3</v>
      </c>
      <c r="F36" t="s">
        <v>4</v>
      </c>
      <c r="G36" t="s">
        <v>5</v>
      </c>
      <c r="H36" t="s">
        <v>6</v>
      </c>
      <c r="I36" t="s">
        <v>7</v>
      </c>
      <c r="J36" t="s">
        <v>8</v>
      </c>
      <c r="K36" t="s">
        <v>9</v>
      </c>
      <c r="L36" t="s">
        <v>10</v>
      </c>
      <c r="M36" t="s">
        <v>11</v>
      </c>
      <c r="N36" t="s">
        <v>12</v>
      </c>
      <c r="O36" t="s">
        <v>13</v>
      </c>
      <c r="P36" s="6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3"/>
      <c r="AC36" s="13"/>
      <c r="AD36"/>
      <c r="AE36" s="14"/>
    </row>
    <row r="37" spans="1:31" s="8" customFormat="1" ht="15" customHeight="1" x14ac:dyDescent="0.25">
      <c r="B37" t="s">
        <v>34</v>
      </c>
      <c r="C37" s="21">
        <f>PRODUCT((C9,C27))</f>
        <v>1000</v>
      </c>
      <c r="D37" s="21">
        <f>PRODUCT((D9,D27))</f>
        <v>2000</v>
      </c>
      <c r="E37" s="21">
        <f>PRODUCT((E9,E27))</f>
        <v>3000</v>
      </c>
      <c r="F37" s="21">
        <f>PRODUCT((F9,F27))</f>
        <v>2000</v>
      </c>
      <c r="G37" s="21">
        <f>PRODUCT((G9,G27))</f>
        <v>2000</v>
      </c>
      <c r="H37" s="21">
        <f>PRODUCT((H9,H27))</f>
        <v>5000</v>
      </c>
      <c r="I37" s="21">
        <f>PRODUCT((I9,I27))</f>
        <v>6000</v>
      </c>
      <c r="J37" s="21">
        <f>PRODUCT((J9,J27))</f>
        <v>7500</v>
      </c>
      <c r="K37" s="21">
        <f>PRODUCT((K9,K27))</f>
        <v>8500</v>
      </c>
      <c r="L37" s="21">
        <f>PRODUCT((L9,L27))</f>
        <v>9250</v>
      </c>
      <c r="M37" s="21">
        <f>PRODUCT((M9,M27))</f>
        <v>9500</v>
      </c>
      <c r="N37" s="21">
        <f>PRODUCT((N9,N27))</f>
        <v>10000</v>
      </c>
      <c r="O37" s="21">
        <f>PRODUCT((O9,O27))</f>
        <v>60562.5</v>
      </c>
      <c r="P37"/>
      <c r="Q37" s="14"/>
    </row>
    <row r="38" spans="1:31" s="8" customFormat="1" ht="15" customHeight="1" x14ac:dyDescent="0.25">
      <c r="B38" t="s">
        <v>35</v>
      </c>
      <c r="C38" s="21">
        <f>PRODUCT((C10,C28))</f>
        <v>1500</v>
      </c>
      <c r="D38" s="21">
        <f>PRODUCT((D10,D28))</f>
        <v>2500</v>
      </c>
      <c r="E38" s="21">
        <f>PRODUCT((E10,E28))</f>
        <v>2500</v>
      </c>
      <c r="F38" s="21">
        <f>PRODUCT((F10,F28))</f>
        <v>2500</v>
      </c>
      <c r="G38" s="21">
        <f>PRODUCT((G10,G28))</f>
        <v>2500</v>
      </c>
      <c r="H38" s="21">
        <f>PRODUCT((H10,H28))</f>
        <v>2500</v>
      </c>
      <c r="I38" s="21">
        <f>PRODUCT((I10,I28))</f>
        <v>3500</v>
      </c>
      <c r="J38" s="21">
        <f>PRODUCT((J10,J28))</f>
        <v>3500</v>
      </c>
      <c r="K38" s="21">
        <f>PRODUCT((K10,K28))</f>
        <v>3500</v>
      </c>
      <c r="L38" s="21">
        <f>PRODUCT((L10,L28))</f>
        <v>3500</v>
      </c>
      <c r="M38" s="21">
        <f>PRODUCT((M10,M28))</f>
        <v>3500</v>
      </c>
      <c r="N38" s="21">
        <f>PRODUCT((N10,N28))</f>
        <v>3500</v>
      </c>
      <c r="O38" s="21">
        <f>PRODUCT((O10,O28))</f>
        <v>35000</v>
      </c>
      <c r="P38"/>
      <c r="Q38" s="14"/>
    </row>
    <row r="39" spans="1:31" s="8" customFormat="1" ht="15" customHeight="1" x14ac:dyDescent="0.25">
      <c r="B39" t="s">
        <v>36</v>
      </c>
      <c r="C39" s="21">
        <f>PRODUCT((C11,C29))</f>
        <v>2400</v>
      </c>
      <c r="D39" s="21">
        <f>PRODUCT((D11,D29))</f>
        <v>2400</v>
      </c>
      <c r="E39" s="21">
        <f>PRODUCT((E11,E29))</f>
        <v>2400</v>
      </c>
      <c r="F39" s="21">
        <f>PRODUCT((F11,F29))</f>
        <v>2400</v>
      </c>
      <c r="G39" s="21">
        <f>PRODUCT((G11,G29))</f>
        <v>2400</v>
      </c>
      <c r="H39" s="21">
        <f>PRODUCT((H11,H29))</f>
        <v>2400</v>
      </c>
      <c r="I39" s="21">
        <f>PRODUCT((I11,I29))</f>
        <v>2400</v>
      </c>
      <c r="J39" s="21">
        <f>PRODUCT((J11,J29))</f>
        <v>2400</v>
      </c>
      <c r="K39" s="21">
        <f>PRODUCT((K11,K29))</f>
        <v>2400</v>
      </c>
      <c r="L39" s="21">
        <f>PRODUCT((L11,L29))</f>
        <v>2400</v>
      </c>
      <c r="M39" s="21">
        <f>PRODUCT((M11,M29))</f>
        <v>2400</v>
      </c>
      <c r="N39" s="21">
        <f>PRODUCT((N11,N29))</f>
        <v>2400</v>
      </c>
      <c r="O39" s="21">
        <f>PRODUCT((O11,O29))</f>
        <v>28800</v>
      </c>
      <c r="P39"/>
      <c r="Q39" s="14"/>
    </row>
    <row r="40" spans="1:31" s="8" customFormat="1" ht="15" customHeight="1" x14ac:dyDescent="0.25">
      <c r="B40" t="s">
        <v>19</v>
      </c>
      <c r="C40" s="21">
        <f>SUBTOTAL(109,Table5[ENERO])</f>
        <v>4900</v>
      </c>
      <c r="D40" s="21">
        <f>SUBTOTAL(109,Table5[FEBRERO])</f>
        <v>6900</v>
      </c>
      <c r="E40" s="21">
        <f>SUBTOTAL(109,Table5[MARZO])</f>
        <v>7900</v>
      </c>
      <c r="F40" s="21">
        <f>SUBTOTAL(109,Table5[ABRIL])</f>
        <v>6900</v>
      </c>
      <c r="G40" s="21">
        <f>SUBTOTAL(109,Table5[MAYO])</f>
        <v>6900</v>
      </c>
      <c r="H40" s="21">
        <f>SUBTOTAL(109,Table5[JUNIO])</f>
        <v>9900</v>
      </c>
      <c r="I40" s="21">
        <f>SUBTOTAL(109,Table5[JULIO])</f>
        <v>11900</v>
      </c>
      <c r="J40" s="21">
        <f>SUBTOTAL(109,Table5[AGOSTO])</f>
        <v>13400</v>
      </c>
      <c r="K40" s="21">
        <f>SUBTOTAL(109,Table5[SEPTIEMBRE])</f>
        <v>14400</v>
      </c>
      <c r="L40" s="21">
        <f>SUBTOTAL(109,Table5[OCTUBRE])</f>
        <v>15150</v>
      </c>
      <c r="M40" s="21">
        <f>SUBTOTAL(109,Table5[NOVIEMBRE])</f>
        <v>15400</v>
      </c>
      <c r="N40" s="21">
        <f>SUBTOTAL(109,Table5[DICIEMBRE])</f>
        <v>15900</v>
      </c>
      <c r="O40" s="21">
        <f>SUBTOTAL(109,Table5[ANUAL])</f>
        <v>124362.5</v>
      </c>
      <c r="P40"/>
      <c r="Q40" s="14"/>
    </row>
    <row r="41" spans="1:31" s="1" customFormat="1" ht="15.75" x14ac:dyDescent="0.25">
      <c r="B41" s="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/>
    </row>
    <row r="42" spans="1:31" s="8" customFormat="1" ht="15" customHeight="1" x14ac:dyDescent="0.25">
      <c r="B42" s="9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/>
    </row>
    <row r="43" spans="1:31" s="8" customFormat="1" ht="15" customHeight="1" x14ac:dyDescent="0.3">
      <c r="B43" s="32" t="s">
        <v>18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/>
    </row>
    <row r="44" spans="1:31" s="8" customFormat="1" ht="15" customHeight="1" x14ac:dyDescent="0.25">
      <c r="B44" t="s">
        <v>41</v>
      </c>
      <c r="C44" t="s">
        <v>1</v>
      </c>
      <c r="D44" t="s">
        <v>2</v>
      </c>
      <c r="E44" t="s">
        <v>3</v>
      </c>
      <c r="F44" t="s">
        <v>4</v>
      </c>
      <c r="G44" t="s">
        <v>5</v>
      </c>
      <c r="H44" t="s">
        <v>6</v>
      </c>
      <c r="I44" t="s">
        <v>7</v>
      </c>
      <c r="J44" t="s">
        <v>8</v>
      </c>
      <c r="K44" t="s">
        <v>9</v>
      </c>
      <c r="L44" t="s">
        <v>10</v>
      </c>
      <c r="M44" t="s">
        <v>11</v>
      </c>
      <c r="N44" t="s">
        <v>12</v>
      </c>
      <c r="O44" t="s">
        <v>13</v>
      </c>
      <c r="P44"/>
    </row>
    <row r="45" spans="1:31" s="8" customFormat="1" ht="15" customHeight="1" x14ac:dyDescent="0.25">
      <c r="B45" t="s">
        <v>34</v>
      </c>
      <c r="C45" s="21">
        <f t="shared" ref="C45:N45" si="0">C37-C19</f>
        <v>200</v>
      </c>
      <c r="D45" s="21">
        <f t="shared" si="0"/>
        <v>1200</v>
      </c>
      <c r="E45" s="21">
        <f t="shared" si="0"/>
        <v>1700</v>
      </c>
      <c r="F45" s="21">
        <f t="shared" si="0"/>
        <v>700</v>
      </c>
      <c r="G45" s="21">
        <f t="shared" si="0"/>
        <v>700</v>
      </c>
      <c r="H45" s="21">
        <f t="shared" si="0"/>
        <v>3700</v>
      </c>
      <c r="I45" s="21">
        <f t="shared" si="0"/>
        <v>2000</v>
      </c>
      <c r="J45" s="21">
        <f t="shared" si="0"/>
        <v>3000</v>
      </c>
      <c r="K45" s="21">
        <f t="shared" si="0"/>
        <v>4000</v>
      </c>
      <c r="L45" s="21">
        <f t="shared" si="0"/>
        <v>4750</v>
      </c>
      <c r="M45" s="21">
        <f t="shared" si="0"/>
        <v>5000</v>
      </c>
      <c r="N45" s="21">
        <f t="shared" si="0"/>
        <v>9000</v>
      </c>
      <c r="O45" s="21">
        <f>SUM(C45:N45)</f>
        <v>35950</v>
      </c>
      <c r="P45"/>
    </row>
    <row r="46" spans="1:31" s="8" customFormat="1" ht="15" customHeight="1" x14ac:dyDescent="0.25">
      <c r="B46" t="s">
        <v>35</v>
      </c>
      <c r="C46" s="21">
        <f t="shared" ref="C46:N46" si="1">C38-C20</f>
        <v>100</v>
      </c>
      <c r="D46" s="21">
        <f t="shared" si="1"/>
        <v>1000</v>
      </c>
      <c r="E46" s="21">
        <f t="shared" si="1"/>
        <v>1000</v>
      </c>
      <c r="F46" s="21">
        <f t="shared" si="1"/>
        <v>1000</v>
      </c>
      <c r="G46" s="21">
        <f t="shared" si="1"/>
        <v>1000</v>
      </c>
      <c r="H46" s="21">
        <f t="shared" si="1"/>
        <v>1600</v>
      </c>
      <c r="I46" s="21">
        <f t="shared" si="1"/>
        <v>500</v>
      </c>
      <c r="J46" s="21">
        <f t="shared" si="1"/>
        <v>500</v>
      </c>
      <c r="K46" s="21">
        <f t="shared" si="1"/>
        <v>500</v>
      </c>
      <c r="L46" s="21">
        <f t="shared" si="1"/>
        <v>500</v>
      </c>
      <c r="M46" s="21">
        <f t="shared" si="1"/>
        <v>500</v>
      </c>
      <c r="N46" s="21">
        <f t="shared" si="1"/>
        <v>500</v>
      </c>
      <c r="O46" s="21">
        <f>SUM(C46:N46)</f>
        <v>8700</v>
      </c>
      <c r="P46"/>
    </row>
    <row r="47" spans="1:31" s="8" customFormat="1" ht="15" customHeight="1" x14ac:dyDescent="0.25">
      <c r="B47" t="s">
        <v>36</v>
      </c>
      <c r="C47" s="21">
        <f t="shared" ref="C47:N47" si="2">C39-C21</f>
        <v>500</v>
      </c>
      <c r="D47" s="21">
        <f t="shared" si="2"/>
        <v>500</v>
      </c>
      <c r="E47" s="21">
        <f t="shared" si="2"/>
        <v>500</v>
      </c>
      <c r="F47" s="21">
        <f t="shared" si="2"/>
        <v>500</v>
      </c>
      <c r="G47" s="21">
        <f t="shared" si="2"/>
        <v>500</v>
      </c>
      <c r="H47" s="21">
        <f t="shared" si="2"/>
        <v>1350</v>
      </c>
      <c r="I47" s="21">
        <f t="shared" si="2"/>
        <v>1350</v>
      </c>
      <c r="J47" s="21">
        <f t="shared" si="2"/>
        <v>1350</v>
      </c>
      <c r="K47" s="21">
        <f t="shared" si="2"/>
        <v>1350</v>
      </c>
      <c r="L47" s="21">
        <f t="shared" si="2"/>
        <v>1350</v>
      </c>
      <c r="M47" s="21">
        <f t="shared" si="2"/>
        <v>1350</v>
      </c>
      <c r="N47" s="21">
        <f t="shared" si="2"/>
        <v>1350</v>
      </c>
      <c r="O47" s="21">
        <f>SUM(C47:N47)</f>
        <v>11950</v>
      </c>
      <c r="P47"/>
    </row>
    <row r="48" spans="1:31" s="1" customFormat="1" ht="15.75" x14ac:dyDescent="0.25">
      <c r="B48" t="s">
        <v>19</v>
      </c>
      <c r="C48" s="21">
        <f>SUBTOTAL(109,Table9[ENERO])</f>
        <v>800</v>
      </c>
      <c r="D48" s="21">
        <f>SUBTOTAL(109,Table9[FEBRERO])</f>
        <v>2700</v>
      </c>
      <c r="E48" s="21">
        <f>SUBTOTAL(109,Table9[MARZO])</f>
        <v>3200</v>
      </c>
      <c r="F48" s="21">
        <f>SUBTOTAL(109,Table9[ABRIL])</f>
        <v>2200</v>
      </c>
      <c r="G48" s="21">
        <f>SUBTOTAL(109,Table9[MAYO])</f>
        <v>2200</v>
      </c>
      <c r="H48" s="21">
        <f>SUBTOTAL(109,Table9[JUNIO])</f>
        <v>6650</v>
      </c>
      <c r="I48" s="21">
        <f>SUBTOTAL(109,Table9[JULIO])</f>
        <v>3850</v>
      </c>
      <c r="J48" s="21">
        <f>SUBTOTAL(109,Table9[AGOSTO])</f>
        <v>4850</v>
      </c>
      <c r="K48" s="21">
        <f>SUBTOTAL(109,Table9[SEPTIEMBRE])</f>
        <v>5850</v>
      </c>
      <c r="L48" s="21">
        <f>SUBTOTAL(109,Table9[OCTUBRE])</f>
        <v>6600</v>
      </c>
      <c r="M48" s="21">
        <f>SUBTOTAL(109,Table9[NOVIEMBRE])</f>
        <v>6850</v>
      </c>
      <c r="N48" s="21">
        <f>SUBTOTAL(109,Table9[DICIEMBRE])</f>
        <v>10850</v>
      </c>
      <c r="O48" s="21">
        <f>SUBTOTAL(109,Table9[ANUAL])</f>
        <v>56600</v>
      </c>
      <c r="P48"/>
    </row>
    <row r="49" spans="2:16" s="8" customFormat="1" ht="15" customHeight="1" x14ac:dyDescent="0.25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/>
    </row>
    <row r="50" spans="2:16" s="8" customFormat="1" ht="15" customHeight="1" x14ac:dyDescent="0.25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/>
    </row>
    <row r="51" spans="2:16" s="8" customFormat="1" ht="15" customHeight="1" x14ac:dyDescent="0.3">
      <c r="B51" s="32" t="s">
        <v>24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/>
    </row>
    <row r="52" spans="2:16" ht="15" customHeight="1" x14ac:dyDescent="0.25">
      <c r="B52" t="s">
        <v>41</v>
      </c>
      <c r="C52" t="s">
        <v>1</v>
      </c>
      <c r="D52" t="s">
        <v>2</v>
      </c>
      <c r="E52" t="s">
        <v>3</v>
      </c>
      <c r="F52" t="s">
        <v>4</v>
      </c>
      <c r="G52" t="s">
        <v>5</v>
      </c>
      <c r="H52" t="s">
        <v>6</v>
      </c>
      <c r="I52" t="s">
        <v>7</v>
      </c>
      <c r="J52" t="s">
        <v>8</v>
      </c>
      <c r="K52" t="s">
        <v>9</v>
      </c>
      <c r="L52" t="s">
        <v>10</v>
      </c>
      <c r="M52" t="s">
        <v>11</v>
      </c>
      <c r="N52" t="s">
        <v>12</v>
      </c>
      <c r="O52" t="s">
        <v>13</v>
      </c>
      <c r="P52"/>
    </row>
    <row r="53" spans="2:16" ht="15" customHeight="1" x14ac:dyDescent="0.25">
      <c r="B53" t="s">
        <v>34</v>
      </c>
      <c r="C53" s="22">
        <f t="shared" ref="C53:N53" si="3">C45/C37</f>
        <v>0.2</v>
      </c>
      <c r="D53" s="22">
        <f t="shared" si="3"/>
        <v>0.6</v>
      </c>
      <c r="E53" s="22">
        <f t="shared" si="3"/>
        <v>0.56666666666666665</v>
      </c>
      <c r="F53" s="22">
        <f t="shared" si="3"/>
        <v>0.35</v>
      </c>
      <c r="G53" s="22">
        <f t="shared" si="3"/>
        <v>0.35</v>
      </c>
      <c r="H53" s="22">
        <f t="shared" si="3"/>
        <v>0.74</v>
      </c>
      <c r="I53" s="22">
        <f t="shared" si="3"/>
        <v>0.33333333333333331</v>
      </c>
      <c r="J53" s="22">
        <f t="shared" si="3"/>
        <v>0.4</v>
      </c>
      <c r="K53" s="22">
        <f t="shared" si="3"/>
        <v>0.47058823529411764</v>
      </c>
      <c r="L53" s="22">
        <f t="shared" si="3"/>
        <v>0.51351351351351349</v>
      </c>
      <c r="M53" s="22">
        <f t="shared" si="3"/>
        <v>0.52631578947368418</v>
      </c>
      <c r="N53" s="22">
        <f t="shared" si="3"/>
        <v>0.9</v>
      </c>
      <c r="O53" s="22">
        <f>AVERAGE(C53:N53)</f>
        <v>0.49586812819010961</v>
      </c>
      <c r="P53"/>
    </row>
    <row r="54" spans="2:16" ht="15" customHeight="1" x14ac:dyDescent="0.25">
      <c r="B54" t="s">
        <v>35</v>
      </c>
      <c r="C54" s="22">
        <f t="shared" ref="C54:N54" si="4">C46/C38</f>
        <v>6.6666666666666666E-2</v>
      </c>
      <c r="D54" s="22">
        <f t="shared" si="4"/>
        <v>0.4</v>
      </c>
      <c r="E54" s="22">
        <f t="shared" si="4"/>
        <v>0.4</v>
      </c>
      <c r="F54" s="22">
        <f t="shared" si="4"/>
        <v>0.4</v>
      </c>
      <c r="G54" s="22">
        <f t="shared" si="4"/>
        <v>0.4</v>
      </c>
      <c r="H54" s="22">
        <f t="shared" si="4"/>
        <v>0.64</v>
      </c>
      <c r="I54" s="22">
        <f t="shared" si="4"/>
        <v>0.14285714285714285</v>
      </c>
      <c r="J54" s="22">
        <f t="shared" si="4"/>
        <v>0.14285714285714285</v>
      </c>
      <c r="K54" s="22">
        <f t="shared" si="4"/>
        <v>0.14285714285714285</v>
      </c>
      <c r="L54" s="22">
        <f t="shared" si="4"/>
        <v>0.14285714285714285</v>
      </c>
      <c r="M54" s="22">
        <f t="shared" si="4"/>
        <v>0.14285714285714285</v>
      </c>
      <c r="N54" s="22">
        <f t="shared" si="4"/>
        <v>0.14285714285714285</v>
      </c>
      <c r="O54" s="22">
        <f>AVERAGE(C54:N54)</f>
        <v>0.26365079365079364</v>
      </c>
      <c r="P54"/>
    </row>
    <row r="55" spans="2:16" ht="15" customHeight="1" x14ac:dyDescent="0.25">
      <c r="B55" t="s">
        <v>36</v>
      </c>
      <c r="C55" s="22">
        <f t="shared" ref="C55:N55" si="5">C47/C39</f>
        <v>0.20833333333333334</v>
      </c>
      <c r="D55" s="22">
        <f t="shared" si="5"/>
        <v>0.20833333333333334</v>
      </c>
      <c r="E55" s="22">
        <f t="shared" si="5"/>
        <v>0.20833333333333334</v>
      </c>
      <c r="F55" s="22">
        <f t="shared" si="5"/>
        <v>0.20833333333333334</v>
      </c>
      <c r="G55" s="22">
        <f t="shared" si="5"/>
        <v>0.20833333333333334</v>
      </c>
      <c r="H55" s="22">
        <f t="shared" si="5"/>
        <v>0.5625</v>
      </c>
      <c r="I55" s="22">
        <f t="shared" si="5"/>
        <v>0.5625</v>
      </c>
      <c r="J55" s="22">
        <f t="shared" si="5"/>
        <v>0.5625</v>
      </c>
      <c r="K55" s="22">
        <f t="shared" si="5"/>
        <v>0.5625</v>
      </c>
      <c r="L55" s="22">
        <f t="shared" si="5"/>
        <v>0.5625</v>
      </c>
      <c r="M55" s="22">
        <f t="shared" si="5"/>
        <v>0.5625</v>
      </c>
      <c r="N55" s="22">
        <f t="shared" si="5"/>
        <v>0.5625</v>
      </c>
      <c r="O55" s="22">
        <f>AVERAGE(C55:N55)</f>
        <v>0.41493055555555558</v>
      </c>
      <c r="P55" s="15"/>
    </row>
    <row r="56" spans="2:16" ht="15" customHeight="1" x14ac:dyDescent="0.25">
      <c r="B56" t="s">
        <v>19</v>
      </c>
      <c r="C56" s="23">
        <f>SUBTOTAL(101,Table10[ENERO])</f>
        <v>0.15833333333333333</v>
      </c>
      <c r="D56" s="23">
        <f>SUBTOTAL(101,Table10[FEBRERO])</f>
        <v>0.40277777777777773</v>
      </c>
      <c r="E56" s="23">
        <f>SUBTOTAL(101,Table10[MARZO])</f>
        <v>0.39166666666666666</v>
      </c>
      <c r="F56" s="23">
        <f>SUBTOTAL(101,Table10[ABRIL])</f>
        <v>0.31944444444444448</v>
      </c>
      <c r="G56" s="23">
        <f>SUBTOTAL(101,Table10[MAYO])</f>
        <v>0.31944444444444448</v>
      </c>
      <c r="H56" s="23">
        <f>SUBTOTAL(101,Table10[JUNIO])</f>
        <v>0.64749999999999996</v>
      </c>
      <c r="I56" s="23">
        <f>SUBTOTAL(101,Table10[JULIO])</f>
        <v>0.34623015873015878</v>
      </c>
      <c r="J56" s="23">
        <f>SUBTOTAL(101,Table10[AGOSTO])</f>
        <v>0.36845238095238098</v>
      </c>
      <c r="K56" s="23">
        <f>SUBTOTAL(101,Table10[SEPTIEMBRE])</f>
        <v>0.39198179271708683</v>
      </c>
      <c r="L56" s="23">
        <f>SUBTOTAL(101,Table10[OCTUBRE])</f>
        <v>0.40629021879021882</v>
      </c>
      <c r="M56" s="23">
        <f>SUBTOTAL(101,Table10[NOVIEMBRE])</f>
        <v>0.41055764411027568</v>
      </c>
      <c r="N56" s="23">
        <f>SUBTOTAL(101,Table10[DICIEMBRE])</f>
        <v>0.53511904761904761</v>
      </c>
      <c r="O56" s="23">
        <f>SUBTOTAL(101,Table10[ANUAL])</f>
        <v>0.39148315913215298</v>
      </c>
      <c r="P56" s="15"/>
    </row>
    <row r="57" spans="2:16" ht="15" customHeight="1" x14ac:dyDescent="0.2"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2:16" ht="15" customHeight="1" x14ac:dyDescent="0.2"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2:16" ht="15" customHeight="1" x14ac:dyDescent="0.2"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2:16" ht="15" customHeight="1" x14ac:dyDescent="0.2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2:16" ht="15" customHeight="1" x14ac:dyDescent="0.2"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2:16" ht="15" customHeight="1" x14ac:dyDescent="0.2"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2:16" ht="15" customHeight="1" x14ac:dyDescent="0.2"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6"/>
    </row>
    <row r="64" spans="2:16" ht="15" customHeight="1" x14ac:dyDescent="0.2"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6"/>
    </row>
    <row r="65" spans="3:16" ht="15" customHeight="1" x14ac:dyDescent="0.2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6"/>
    </row>
    <row r="66" spans="3:16" ht="15" customHeight="1" x14ac:dyDescent="0.2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6"/>
    </row>
    <row r="67" spans="3:16" ht="15" customHeight="1" x14ac:dyDescent="0.2"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6"/>
    </row>
    <row r="68" spans="3:16" ht="15" customHeight="1" x14ac:dyDescent="0.2"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3:16" ht="15" customHeight="1" x14ac:dyDescent="0.2"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3:16" ht="15" customHeight="1" x14ac:dyDescent="0.2"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</row>
    <row r="71" spans="3:16" ht="15" customHeight="1" x14ac:dyDescent="0.2"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  <row r="72" spans="3:16" ht="15" customHeight="1" x14ac:dyDescent="0.2"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</row>
    <row r="73" spans="3:16" ht="15" customHeight="1" x14ac:dyDescent="0.2"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</row>
    <row r="74" spans="3:16" ht="15" customHeight="1" x14ac:dyDescent="0.2"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</row>
    <row r="75" spans="3:16" ht="15" customHeight="1" x14ac:dyDescent="0.2"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</row>
    <row r="76" spans="3:16" ht="15" customHeight="1" x14ac:dyDescent="0.2"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</row>
    <row r="77" spans="3:16" ht="15" customHeight="1" x14ac:dyDescent="0.2"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</row>
    <row r="78" spans="3:16" ht="15" customHeight="1" x14ac:dyDescent="0.2"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</row>
    <row r="79" spans="3:16" ht="15" customHeight="1" x14ac:dyDescent="0.2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</row>
    <row r="80" spans="3:16" ht="15" customHeight="1" x14ac:dyDescent="0.2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</row>
    <row r="81" spans="3:16" ht="15" customHeight="1" x14ac:dyDescent="0.2"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</row>
    <row r="82" spans="3:16" ht="15" customHeight="1" x14ac:dyDescent="0.2"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</row>
    <row r="83" spans="3:16" ht="15" customHeight="1" x14ac:dyDescent="0.2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</row>
    <row r="84" spans="3:16" ht="15" customHeight="1" x14ac:dyDescent="0.2"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</row>
    <row r="85" spans="3:16" ht="15" customHeight="1" x14ac:dyDescent="0.2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</row>
    <row r="86" spans="3:16" ht="15" customHeight="1" x14ac:dyDescent="0.2"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</row>
    <row r="87" spans="3:16" ht="15" customHeight="1" x14ac:dyDescent="0.2"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3:16" ht="15" customHeight="1" x14ac:dyDescent="0.2"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3:16" ht="15" customHeight="1" x14ac:dyDescent="0.2"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3:16" ht="15" customHeight="1" x14ac:dyDescent="0.2"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</row>
    <row r="91" spans="3:16" ht="15" customHeight="1" x14ac:dyDescent="0.2"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</row>
    <row r="92" spans="3:16" ht="15" customHeight="1" x14ac:dyDescent="0.2"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3:16" ht="15" customHeight="1" x14ac:dyDescent="0.2"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3:16" ht="15" customHeight="1" x14ac:dyDescent="0.2"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3:16" ht="15" customHeight="1" x14ac:dyDescent="0.2"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3:16" ht="15" customHeight="1" x14ac:dyDescent="0.2"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3:16" ht="15" customHeight="1" x14ac:dyDescent="0.2"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3:16" ht="15" customHeight="1" x14ac:dyDescent="0.2"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3:16" ht="15" customHeight="1" x14ac:dyDescent="0.2"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3:16" ht="15" customHeight="1" x14ac:dyDescent="0.2"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3:16" ht="15" customHeight="1" x14ac:dyDescent="0.2"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3:16" ht="15" customHeight="1" x14ac:dyDescent="0.2"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3:16" ht="15" customHeight="1" x14ac:dyDescent="0.2"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3:16" ht="15" customHeight="1" x14ac:dyDescent="0.2"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3:16" ht="15" customHeight="1" x14ac:dyDescent="0.2"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3:16" ht="15" customHeight="1" x14ac:dyDescent="0.2"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</row>
    <row r="107" spans="3:16" ht="15" customHeight="1" x14ac:dyDescent="0.2"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</row>
    <row r="108" spans="3:16" ht="15" customHeight="1" x14ac:dyDescent="0.2"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</row>
    <row r="109" spans="3:16" ht="15" customHeight="1" x14ac:dyDescent="0.2"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</row>
    <row r="110" spans="3:16" ht="15" customHeight="1" x14ac:dyDescent="0.2"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</row>
    <row r="111" spans="3:16" ht="15" customHeight="1" x14ac:dyDescent="0.2"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</row>
    <row r="112" spans="3:16" ht="15" customHeight="1" x14ac:dyDescent="0.2"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</row>
    <row r="113" spans="3:16" ht="15" customHeight="1" x14ac:dyDescent="0.2"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</row>
    <row r="114" spans="3:16" ht="15" customHeight="1" x14ac:dyDescent="0.2"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</row>
    <row r="115" spans="3:16" ht="15" customHeight="1" x14ac:dyDescent="0.2"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</row>
    <row r="116" spans="3:16" ht="15" customHeight="1" x14ac:dyDescent="0.2"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</row>
    <row r="117" spans="3:16" ht="15" customHeight="1" x14ac:dyDescent="0.2"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</row>
    <row r="118" spans="3:16" ht="15" customHeight="1" x14ac:dyDescent="0.2"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</row>
    <row r="119" spans="3:16" ht="15" customHeight="1" x14ac:dyDescent="0.2"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</row>
    <row r="120" spans="3:16" ht="15" customHeight="1" x14ac:dyDescent="0.2"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</row>
    <row r="121" spans="3:16" ht="15" customHeight="1" x14ac:dyDescent="0.2"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</row>
    <row r="122" spans="3:16" ht="15" customHeight="1" x14ac:dyDescent="0.2"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</row>
    <row r="123" spans="3:16" ht="15" customHeight="1" x14ac:dyDescent="0.2"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</row>
    <row r="124" spans="3:16" ht="15" customHeight="1" x14ac:dyDescent="0.2"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</row>
    <row r="125" spans="3:16" ht="15" customHeight="1" x14ac:dyDescent="0.2"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</row>
    <row r="126" spans="3:16" ht="15" customHeight="1" x14ac:dyDescent="0.2"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</row>
    <row r="127" spans="3:16" ht="15" customHeight="1" x14ac:dyDescent="0.2"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</row>
    <row r="128" spans="3:16" ht="15" customHeight="1" x14ac:dyDescent="0.2"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</row>
    <row r="129" spans="3:16" ht="15" customHeight="1" x14ac:dyDescent="0.2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</row>
    <row r="130" spans="3:16" ht="15" customHeight="1" x14ac:dyDescent="0.2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</row>
    <row r="131" spans="3:16" ht="15" customHeight="1" x14ac:dyDescent="0.2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</row>
    <row r="132" spans="3:16" ht="15" customHeight="1" x14ac:dyDescent="0.2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</row>
    <row r="133" spans="3:16" ht="15" customHeight="1" x14ac:dyDescent="0.2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5"/>
    </row>
    <row r="134" spans="3:16" ht="15" customHeight="1" x14ac:dyDescent="0.2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5"/>
    </row>
    <row r="135" spans="3:16" ht="15" customHeight="1" x14ac:dyDescent="0.2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5"/>
    </row>
    <row r="136" spans="3:16" ht="15" customHeight="1" x14ac:dyDescent="0.2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5"/>
    </row>
    <row r="137" spans="3:16" ht="15" customHeight="1" x14ac:dyDescent="0.2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5"/>
    </row>
    <row r="138" spans="3:16" ht="15" customHeight="1" x14ac:dyDescent="0.2"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</row>
    <row r="139" spans="3:16" ht="15" customHeight="1" x14ac:dyDescent="0.2"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</row>
    <row r="140" spans="3:16" ht="15" customHeight="1" x14ac:dyDescent="0.2"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</row>
    <row r="141" spans="3:16" ht="15" customHeight="1" x14ac:dyDescent="0.2"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</row>
    <row r="142" spans="3:16" ht="15" customHeight="1" x14ac:dyDescent="0.2"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</row>
    <row r="143" spans="3:16" ht="15" customHeight="1" x14ac:dyDescent="0.2"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</row>
    <row r="144" spans="3:16" ht="15" customHeight="1" x14ac:dyDescent="0.2"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</row>
    <row r="145" spans="3:16" ht="15" customHeight="1" x14ac:dyDescent="0.2"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</row>
    <row r="146" spans="3:16" ht="15" customHeight="1" x14ac:dyDescent="0.2"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</row>
    <row r="147" spans="3:16" ht="15" customHeight="1" x14ac:dyDescent="0.2"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</row>
    <row r="148" spans="3:16" ht="15" customHeight="1" x14ac:dyDescent="0.2"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</row>
    <row r="149" spans="3:16" ht="15" customHeight="1" x14ac:dyDescent="0.2"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</row>
    <row r="150" spans="3:16" ht="15" customHeight="1" x14ac:dyDescent="0.2"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</row>
    <row r="151" spans="3:16" ht="15" customHeight="1" x14ac:dyDescent="0.2"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</row>
    <row r="152" spans="3:16" ht="15" customHeight="1" x14ac:dyDescent="0.2"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</row>
    <row r="153" spans="3:16" ht="15" customHeight="1" x14ac:dyDescent="0.2"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</row>
    <row r="154" spans="3:16" ht="15" customHeight="1" x14ac:dyDescent="0.2"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</row>
    <row r="155" spans="3:16" ht="15" customHeight="1" x14ac:dyDescent="0.2"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</row>
    <row r="156" spans="3:16" ht="15" customHeight="1" x14ac:dyDescent="0.2"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</row>
    <row r="157" spans="3:16" ht="15" customHeight="1" x14ac:dyDescent="0.2"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</row>
    <row r="158" spans="3:16" ht="15" customHeight="1" x14ac:dyDescent="0.2"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</row>
    <row r="159" spans="3:16" ht="15" customHeight="1" x14ac:dyDescent="0.2"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</row>
    <row r="160" spans="3:16" ht="15" customHeight="1" x14ac:dyDescent="0.2"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</row>
    <row r="161" spans="3:16" ht="15" customHeight="1" x14ac:dyDescent="0.2"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</row>
    <row r="162" spans="3:16" ht="15" customHeight="1" x14ac:dyDescent="0.2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</row>
    <row r="163" spans="3:16" ht="15" customHeight="1" x14ac:dyDescent="0.2"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</row>
    <row r="164" spans="3:16" ht="15" customHeight="1" x14ac:dyDescent="0.2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</row>
    <row r="165" spans="3:16" ht="15" customHeight="1" x14ac:dyDescent="0.2"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</row>
    <row r="166" spans="3:16" ht="15" customHeight="1" x14ac:dyDescent="0.2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</row>
    <row r="167" spans="3:16" ht="15" customHeight="1" x14ac:dyDescent="0.2"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</row>
    <row r="168" spans="3:16" ht="15" customHeight="1" x14ac:dyDescent="0.2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</row>
    <row r="169" spans="3:16" ht="15" customHeight="1" x14ac:dyDescent="0.2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</row>
    <row r="170" spans="3:16" ht="15" customHeight="1" x14ac:dyDescent="0.2"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</row>
    <row r="171" spans="3:16" ht="15" customHeight="1" x14ac:dyDescent="0.2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</row>
    <row r="172" spans="3:16" ht="15" customHeight="1" x14ac:dyDescent="0.2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</row>
    <row r="173" spans="3:16" ht="15" customHeight="1" x14ac:dyDescent="0.2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</row>
    <row r="174" spans="3:16" ht="15" customHeight="1" x14ac:dyDescent="0.2"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</row>
    <row r="175" spans="3:16" ht="15" customHeight="1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</row>
    <row r="176" spans="3:16" ht="15" customHeight="1" x14ac:dyDescent="0.2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</row>
    <row r="177" spans="3:16" ht="15" customHeight="1" x14ac:dyDescent="0.2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</row>
    <row r="178" spans="3:16" ht="15" customHeight="1" x14ac:dyDescent="0.2"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</row>
    <row r="179" spans="3:16" ht="15" customHeight="1" x14ac:dyDescent="0.2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</row>
    <row r="180" spans="3:16" ht="15" customHeight="1" x14ac:dyDescent="0.2"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</row>
    <row r="181" spans="3:16" ht="15" customHeight="1" x14ac:dyDescent="0.2"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</row>
    <row r="182" spans="3:16" ht="15" customHeight="1" x14ac:dyDescent="0.2"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</row>
    <row r="183" spans="3:16" ht="15" customHeight="1" x14ac:dyDescent="0.2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</row>
    <row r="184" spans="3:16" ht="15" customHeight="1" x14ac:dyDescent="0.2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</row>
    <row r="185" spans="3:16" ht="15" customHeight="1" x14ac:dyDescent="0.2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</row>
    <row r="186" spans="3:16" ht="15" customHeight="1" x14ac:dyDescent="0.2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</row>
    <row r="187" spans="3:16" ht="15" customHeight="1" x14ac:dyDescent="0.2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</row>
    <row r="188" spans="3:16" ht="15" customHeight="1" x14ac:dyDescent="0.2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</row>
    <row r="189" spans="3:16" ht="15" customHeight="1" x14ac:dyDescent="0.2"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</row>
    <row r="190" spans="3:16" ht="15" customHeight="1" x14ac:dyDescent="0.2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</row>
    <row r="191" spans="3:16" ht="15" customHeight="1" x14ac:dyDescent="0.2"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</row>
    <row r="192" spans="3:16" ht="15" customHeight="1" x14ac:dyDescent="0.2"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</row>
    <row r="193" spans="3:16" ht="15" customHeight="1" x14ac:dyDescent="0.2"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</row>
    <row r="194" spans="3:16" ht="15" customHeight="1" x14ac:dyDescent="0.2"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</row>
    <row r="195" spans="3:16" ht="15" customHeight="1" x14ac:dyDescent="0.2"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</row>
    <row r="196" spans="3:16" ht="15" customHeight="1" x14ac:dyDescent="0.2"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</row>
    <row r="197" spans="3:16" ht="15" customHeight="1" x14ac:dyDescent="0.2"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</row>
    <row r="198" spans="3:16" ht="15" customHeight="1" x14ac:dyDescent="0.2"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</row>
    <row r="199" spans="3:16" ht="15" customHeight="1" x14ac:dyDescent="0.2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</row>
    <row r="200" spans="3:16" ht="15" customHeight="1" x14ac:dyDescent="0.2"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</row>
    <row r="201" spans="3:16" ht="15" customHeight="1" x14ac:dyDescent="0.2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</row>
    <row r="202" spans="3:16" ht="15" customHeight="1" x14ac:dyDescent="0.2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</row>
    <row r="203" spans="3:16" ht="15" customHeight="1" x14ac:dyDescent="0.2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</row>
    <row r="204" spans="3:16" ht="15" customHeight="1" x14ac:dyDescent="0.2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</row>
    <row r="205" spans="3:16" ht="15" customHeight="1" x14ac:dyDescent="0.2"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</row>
    <row r="206" spans="3:16" ht="15" customHeight="1" x14ac:dyDescent="0.2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</row>
    <row r="207" spans="3:16" ht="15" customHeight="1" x14ac:dyDescent="0.2"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</row>
    <row r="208" spans="3:16" ht="15" customHeight="1" x14ac:dyDescent="0.2"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</row>
    <row r="209" spans="3:16" ht="15" customHeight="1" x14ac:dyDescent="0.2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</row>
    <row r="210" spans="3:16" ht="15" customHeight="1" x14ac:dyDescent="0.2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</row>
    <row r="211" spans="3:16" ht="15" customHeight="1" x14ac:dyDescent="0.2"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</row>
    <row r="212" spans="3:16" ht="15" customHeight="1" x14ac:dyDescent="0.2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</row>
    <row r="213" spans="3:16" ht="15" customHeight="1" x14ac:dyDescent="0.2"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</row>
    <row r="214" spans="3:16" ht="15" customHeight="1" x14ac:dyDescent="0.2"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</row>
    <row r="215" spans="3:16" ht="15" customHeight="1" x14ac:dyDescent="0.2"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</row>
    <row r="216" spans="3:16" ht="15" customHeight="1" x14ac:dyDescent="0.2"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</row>
    <row r="217" spans="3:16" ht="15" customHeight="1" x14ac:dyDescent="0.2"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</row>
    <row r="218" spans="3:16" ht="15" customHeight="1" x14ac:dyDescent="0.2"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</row>
    <row r="219" spans="3:16" ht="15" customHeight="1" x14ac:dyDescent="0.2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</row>
    <row r="220" spans="3:16" ht="15" customHeight="1" x14ac:dyDescent="0.2"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</row>
    <row r="221" spans="3:16" ht="15" customHeight="1" x14ac:dyDescent="0.2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</row>
    <row r="222" spans="3:16" ht="15" customHeight="1" x14ac:dyDescent="0.2"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</row>
    <row r="223" spans="3:16" ht="15" customHeight="1" x14ac:dyDescent="0.2"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</row>
    <row r="224" spans="3:16" ht="15" customHeight="1" x14ac:dyDescent="0.2"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</row>
    <row r="225" spans="3:16" ht="15" customHeight="1" x14ac:dyDescent="0.2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</row>
    <row r="226" spans="3:16" ht="15" customHeight="1" x14ac:dyDescent="0.2"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</row>
    <row r="227" spans="3:16" ht="15" customHeight="1" x14ac:dyDescent="0.2"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</row>
    <row r="228" spans="3:16" ht="15" customHeight="1" x14ac:dyDescent="0.2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</row>
    <row r="229" spans="3:16" ht="15" customHeight="1" x14ac:dyDescent="0.2"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</row>
    <row r="230" spans="3:16" ht="15" customHeight="1" x14ac:dyDescent="0.2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</row>
    <row r="231" spans="3:16" ht="15" customHeight="1" x14ac:dyDescent="0.2"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</row>
    <row r="232" spans="3:16" ht="15" customHeight="1" x14ac:dyDescent="0.2"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</row>
    <row r="233" spans="3:16" ht="15" customHeight="1" x14ac:dyDescent="0.2"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</row>
    <row r="234" spans="3:16" ht="15" customHeight="1" x14ac:dyDescent="0.2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</row>
    <row r="235" spans="3:16" ht="15" customHeight="1" x14ac:dyDescent="0.2"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</row>
    <row r="236" spans="3:16" ht="15" customHeight="1" x14ac:dyDescent="0.2"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</row>
    <row r="237" spans="3:16" ht="15" customHeight="1" x14ac:dyDescent="0.2"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</row>
    <row r="238" spans="3:16" ht="15" customHeight="1" x14ac:dyDescent="0.2"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</row>
    <row r="239" spans="3:16" ht="15" customHeight="1" x14ac:dyDescent="0.2"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</row>
    <row r="240" spans="3:16" ht="15" customHeight="1" x14ac:dyDescent="0.2"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</row>
    <row r="241" spans="3:16" ht="15" customHeight="1" x14ac:dyDescent="0.2"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</row>
    <row r="242" spans="3:16" ht="15" customHeight="1" x14ac:dyDescent="0.2"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</row>
    <row r="243" spans="3:16" ht="15" customHeight="1" x14ac:dyDescent="0.2"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</row>
    <row r="244" spans="3:16" ht="15" customHeight="1" x14ac:dyDescent="0.2"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</row>
    <row r="245" spans="3:16" ht="15" customHeight="1" x14ac:dyDescent="0.2"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3:16" ht="15" customHeight="1" x14ac:dyDescent="0.2"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3:16" ht="15" customHeight="1" x14ac:dyDescent="0.2"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3:16" ht="15" customHeight="1" x14ac:dyDescent="0.2"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3:16" ht="15" customHeight="1" x14ac:dyDescent="0.2"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3:16" ht="15" customHeight="1" x14ac:dyDescent="0.2"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3:16" ht="15" customHeight="1" x14ac:dyDescent="0.2"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3:16" ht="15" customHeight="1" x14ac:dyDescent="0.2"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3:16" ht="15" customHeight="1" x14ac:dyDescent="0.2"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3:16" ht="15" customHeight="1" x14ac:dyDescent="0.2"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3:16" ht="15" customHeight="1" x14ac:dyDescent="0.2"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3:16" ht="15" customHeight="1" x14ac:dyDescent="0.2"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</row>
    <row r="257" spans="3:16" ht="15" customHeight="1" x14ac:dyDescent="0.2"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</row>
    <row r="258" spans="3:16" ht="15" customHeight="1" x14ac:dyDescent="0.2"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</row>
    <row r="259" spans="3:16" ht="15" customHeight="1" x14ac:dyDescent="0.2"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</row>
    <row r="260" spans="3:16" ht="15" customHeight="1" x14ac:dyDescent="0.2"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</row>
    <row r="261" spans="3:16" ht="15" customHeight="1" x14ac:dyDescent="0.2"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</row>
    <row r="262" spans="3:16" ht="15" customHeight="1" x14ac:dyDescent="0.2"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</row>
    <row r="263" spans="3:16" ht="15" customHeight="1" x14ac:dyDescent="0.2"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</row>
    <row r="264" spans="3:16" ht="15" customHeight="1" x14ac:dyDescent="0.2"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</row>
    <row r="265" spans="3:16" ht="15" customHeight="1" x14ac:dyDescent="0.2"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</row>
    <row r="266" spans="3:16" ht="15" customHeight="1" x14ac:dyDescent="0.2"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</row>
    <row r="267" spans="3:16" ht="15" customHeight="1" x14ac:dyDescent="0.2"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</row>
    <row r="268" spans="3:16" ht="15" customHeight="1" x14ac:dyDescent="0.2"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</row>
    <row r="269" spans="3:16" ht="15" customHeight="1" x14ac:dyDescent="0.2"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</row>
    <row r="270" spans="3:16" ht="15" customHeight="1" x14ac:dyDescent="0.2"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</row>
    <row r="271" spans="3:16" ht="15" customHeight="1" x14ac:dyDescent="0.2"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</row>
    <row r="272" spans="3:16" ht="15" customHeight="1" x14ac:dyDescent="0.2"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</row>
    <row r="273" spans="3:16" ht="15" customHeight="1" x14ac:dyDescent="0.2"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</row>
    <row r="274" spans="3:16" ht="15" customHeight="1" x14ac:dyDescent="0.2"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</row>
    <row r="275" spans="3:16" ht="15" customHeight="1" x14ac:dyDescent="0.2"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</row>
    <row r="276" spans="3:16" ht="15" customHeight="1" x14ac:dyDescent="0.2"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</row>
    <row r="277" spans="3:16" ht="15" customHeight="1" x14ac:dyDescent="0.2"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</row>
    <row r="278" spans="3:16" ht="15" customHeight="1" x14ac:dyDescent="0.2"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</row>
    <row r="279" spans="3:16" ht="15" customHeight="1" x14ac:dyDescent="0.2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</row>
    <row r="280" spans="3:16" ht="15" customHeight="1" x14ac:dyDescent="0.2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</row>
    <row r="281" spans="3:16" ht="15" customHeight="1" x14ac:dyDescent="0.2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</row>
    <row r="282" spans="3:16" ht="15" customHeight="1" x14ac:dyDescent="0.2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</row>
    <row r="283" spans="3:16" ht="15" customHeight="1" x14ac:dyDescent="0.2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</row>
    <row r="284" spans="3:16" ht="15" customHeight="1" x14ac:dyDescent="0.2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</row>
    <row r="285" spans="3:16" ht="15" customHeight="1" x14ac:dyDescent="0.2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</row>
    <row r="286" spans="3:16" ht="15" customHeight="1" x14ac:dyDescent="0.2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</row>
    <row r="287" spans="3:16" ht="15" customHeight="1" x14ac:dyDescent="0.2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</row>
    <row r="288" spans="3:16" ht="15" customHeight="1" x14ac:dyDescent="0.2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</row>
    <row r="289" spans="3:16" ht="15" customHeight="1" x14ac:dyDescent="0.2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</row>
    <row r="290" spans="3:16" ht="15" customHeight="1" x14ac:dyDescent="0.2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</row>
    <row r="291" spans="3:16" ht="15" customHeight="1" x14ac:dyDescent="0.2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</row>
    <row r="292" spans="3:16" ht="15" customHeight="1" x14ac:dyDescent="0.2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</row>
    <row r="293" spans="3:16" ht="15" customHeight="1" x14ac:dyDescent="0.2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</row>
    <row r="294" spans="3:16" ht="15" customHeight="1" x14ac:dyDescent="0.2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</row>
    <row r="295" spans="3:16" ht="15" customHeight="1" x14ac:dyDescent="0.2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</row>
    <row r="296" spans="3:16" ht="15" customHeight="1" x14ac:dyDescent="0.2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</row>
    <row r="297" spans="3:16" ht="15" customHeight="1" x14ac:dyDescent="0.2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</row>
    <row r="298" spans="3:16" ht="15" customHeight="1" x14ac:dyDescent="0.2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</row>
    <row r="299" spans="3:16" ht="15" customHeight="1" x14ac:dyDescent="0.2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</row>
    <row r="300" spans="3:16" ht="15" customHeight="1" x14ac:dyDescent="0.2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</row>
    <row r="301" spans="3:16" ht="15" customHeight="1" x14ac:dyDescent="0.2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</row>
    <row r="302" spans="3:16" ht="15" customHeight="1" x14ac:dyDescent="0.2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</row>
    <row r="303" spans="3:16" ht="15" customHeight="1" x14ac:dyDescent="0.2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</row>
    <row r="304" spans="3:16" ht="15" customHeight="1" x14ac:dyDescent="0.2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</row>
    <row r="305" spans="3:16" ht="15" customHeight="1" x14ac:dyDescent="0.2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</row>
    <row r="306" spans="3:16" ht="15" customHeight="1" x14ac:dyDescent="0.2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</row>
    <row r="307" spans="3:16" ht="15" customHeight="1" x14ac:dyDescent="0.2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</row>
    <row r="308" spans="3:16" ht="15" customHeight="1" x14ac:dyDescent="0.2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</row>
    <row r="309" spans="3:16" ht="15" customHeight="1" x14ac:dyDescent="0.2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</row>
    <row r="310" spans="3:16" ht="15" customHeight="1" x14ac:dyDescent="0.2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</row>
    <row r="311" spans="3:16" ht="15" customHeight="1" x14ac:dyDescent="0.2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</row>
    <row r="312" spans="3:16" ht="15" customHeight="1" x14ac:dyDescent="0.2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</row>
    <row r="313" spans="3:16" ht="15" customHeight="1" x14ac:dyDescent="0.2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</row>
    <row r="314" spans="3:16" ht="15" customHeight="1" x14ac:dyDescent="0.2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</row>
    <row r="315" spans="3:16" ht="15" customHeight="1" x14ac:dyDescent="0.2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</row>
    <row r="316" spans="3:16" ht="15" customHeight="1" x14ac:dyDescent="0.2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</row>
    <row r="317" spans="3:16" ht="15" customHeight="1" x14ac:dyDescent="0.2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</row>
    <row r="318" spans="3:16" ht="15" customHeight="1" x14ac:dyDescent="0.2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</row>
    <row r="319" spans="3:16" ht="15" customHeight="1" x14ac:dyDescent="0.2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</row>
    <row r="320" spans="3:16" ht="15" customHeight="1" x14ac:dyDescent="0.2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</row>
    <row r="321" spans="3:16" ht="15" customHeight="1" x14ac:dyDescent="0.2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</row>
    <row r="322" spans="3:16" ht="15" customHeight="1" x14ac:dyDescent="0.2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</row>
    <row r="323" spans="3:16" ht="15" customHeight="1" x14ac:dyDescent="0.2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</row>
    <row r="324" spans="3:16" ht="15" customHeight="1" x14ac:dyDescent="0.2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</row>
    <row r="325" spans="3:16" ht="15" customHeight="1" x14ac:dyDescent="0.2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</row>
    <row r="326" spans="3:16" ht="15" customHeight="1" x14ac:dyDescent="0.2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</row>
    <row r="327" spans="3:16" ht="15" customHeight="1" x14ac:dyDescent="0.2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</row>
    <row r="328" spans="3:16" ht="15" customHeight="1" x14ac:dyDescent="0.2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</row>
    <row r="329" spans="3:16" ht="15" customHeight="1" x14ac:dyDescent="0.2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</row>
    <row r="330" spans="3:16" ht="15" customHeight="1" x14ac:dyDescent="0.2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</row>
    <row r="331" spans="3:16" ht="15" customHeight="1" x14ac:dyDescent="0.2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</row>
    <row r="332" spans="3:16" ht="15" customHeight="1" x14ac:dyDescent="0.2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</row>
    <row r="333" spans="3:16" ht="15" customHeight="1" x14ac:dyDescent="0.2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</row>
    <row r="334" spans="3:16" ht="15" customHeight="1" x14ac:dyDescent="0.2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</row>
    <row r="335" spans="3:16" ht="15" customHeight="1" x14ac:dyDescent="0.2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</row>
    <row r="336" spans="3:16" ht="15" customHeight="1" x14ac:dyDescent="0.2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</row>
    <row r="337" spans="3:16" ht="15" customHeight="1" x14ac:dyDescent="0.2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</row>
    <row r="338" spans="3:16" ht="15" customHeight="1" x14ac:dyDescent="0.2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</row>
    <row r="339" spans="3:16" ht="15" customHeight="1" x14ac:dyDescent="0.2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</row>
    <row r="340" spans="3:16" ht="15" customHeight="1" x14ac:dyDescent="0.2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</row>
    <row r="341" spans="3:16" ht="15" customHeight="1" x14ac:dyDescent="0.2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</row>
    <row r="342" spans="3:16" ht="15" customHeight="1" x14ac:dyDescent="0.2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</row>
    <row r="343" spans="3:16" ht="15" customHeight="1" x14ac:dyDescent="0.2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</row>
    <row r="344" spans="3:16" ht="15" customHeight="1" x14ac:dyDescent="0.2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</row>
    <row r="345" spans="3:16" ht="15" customHeight="1" x14ac:dyDescent="0.2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</row>
    <row r="346" spans="3:16" ht="15" customHeight="1" x14ac:dyDescent="0.2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</row>
    <row r="347" spans="3:16" ht="15" customHeight="1" x14ac:dyDescent="0.2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</row>
    <row r="348" spans="3:16" ht="15" customHeight="1" x14ac:dyDescent="0.2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</row>
    <row r="349" spans="3:16" ht="15" customHeight="1" x14ac:dyDescent="0.2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</row>
    <row r="350" spans="3:16" ht="15" customHeight="1" x14ac:dyDescent="0.2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</row>
    <row r="351" spans="3:16" ht="15" customHeight="1" x14ac:dyDescent="0.2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</row>
    <row r="352" spans="3:16" ht="15" customHeight="1" x14ac:dyDescent="0.2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</row>
    <row r="353" spans="3:16" ht="15" customHeight="1" x14ac:dyDescent="0.2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</row>
    <row r="354" spans="3:16" ht="15" customHeight="1" x14ac:dyDescent="0.2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</row>
    <row r="355" spans="3:16" ht="15" customHeight="1" x14ac:dyDescent="0.2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</row>
    <row r="356" spans="3:16" ht="15" customHeight="1" x14ac:dyDescent="0.2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</row>
    <row r="357" spans="3:16" ht="15" customHeight="1" x14ac:dyDescent="0.2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</row>
    <row r="358" spans="3:16" ht="15" customHeight="1" x14ac:dyDescent="0.2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</row>
    <row r="359" spans="3:16" ht="15" customHeight="1" x14ac:dyDescent="0.2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</row>
    <row r="360" spans="3:16" ht="15" customHeight="1" x14ac:dyDescent="0.2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</row>
    <row r="361" spans="3:16" ht="15" customHeight="1" x14ac:dyDescent="0.2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</row>
    <row r="362" spans="3:16" ht="15" customHeight="1" x14ac:dyDescent="0.2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</row>
    <row r="363" spans="3:16" ht="15" customHeight="1" x14ac:dyDescent="0.2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</row>
    <row r="364" spans="3:16" ht="15" customHeight="1" x14ac:dyDescent="0.2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</row>
    <row r="365" spans="3:16" ht="15" customHeight="1" x14ac:dyDescent="0.2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</row>
    <row r="366" spans="3:16" ht="15" customHeight="1" x14ac:dyDescent="0.2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</row>
    <row r="367" spans="3:16" ht="15" customHeight="1" x14ac:dyDescent="0.2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</row>
    <row r="368" spans="3:16" ht="15" customHeight="1" x14ac:dyDescent="0.2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</row>
    <row r="369" spans="3:16" ht="15" customHeight="1" x14ac:dyDescent="0.2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</row>
    <row r="370" spans="3:16" ht="15" customHeight="1" x14ac:dyDescent="0.2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</row>
    <row r="371" spans="3:16" ht="15" customHeight="1" x14ac:dyDescent="0.2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</row>
    <row r="372" spans="3:16" ht="15" customHeight="1" x14ac:dyDescent="0.2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</row>
    <row r="373" spans="3:16" ht="15" customHeight="1" x14ac:dyDescent="0.2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</row>
    <row r="374" spans="3:16" ht="15" customHeight="1" x14ac:dyDescent="0.2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</row>
    <row r="375" spans="3:16" ht="15" customHeight="1" x14ac:dyDescent="0.2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</row>
    <row r="376" spans="3:16" ht="15" customHeight="1" x14ac:dyDescent="0.2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</row>
    <row r="377" spans="3:16" ht="15" customHeight="1" x14ac:dyDescent="0.2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</row>
    <row r="378" spans="3:16" ht="15" customHeight="1" x14ac:dyDescent="0.2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</row>
    <row r="379" spans="3:16" ht="15" customHeight="1" x14ac:dyDescent="0.2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</row>
    <row r="380" spans="3:16" ht="15" customHeight="1" x14ac:dyDescent="0.2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</row>
    <row r="381" spans="3:16" ht="15" customHeight="1" x14ac:dyDescent="0.2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</row>
    <row r="382" spans="3:16" ht="15" customHeight="1" x14ac:dyDescent="0.2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</row>
    <row r="383" spans="3:16" ht="15" customHeight="1" x14ac:dyDescent="0.2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</row>
    <row r="384" spans="3:16" ht="15" customHeight="1" x14ac:dyDescent="0.2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</row>
    <row r="385" spans="3:16" ht="15" customHeight="1" x14ac:dyDescent="0.2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</row>
    <row r="386" spans="3:16" ht="15" customHeight="1" x14ac:dyDescent="0.2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</row>
    <row r="387" spans="3:16" ht="15" customHeight="1" x14ac:dyDescent="0.2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</row>
    <row r="388" spans="3:16" ht="15" customHeight="1" x14ac:dyDescent="0.2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</row>
    <row r="389" spans="3:16" ht="15" customHeight="1" x14ac:dyDescent="0.2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</row>
    <row r="390" spans="3:16" ht="15" customHeight="1" x14ac:dyDescent="0.2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</row>
    <row r="391" spans="3:16" ht="15" customHeight="1" x14ac:dyDescent="0.2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</row>
    <row r="392" spans="3:16" ht="15" customHeight="1" x14ac:dyDescent="0.2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</row>
    <row r="393" spans="3:16" ht="15" customHeight="1" x14ac:dyDescent="0.2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</row>
    <row r="394" spans="3:16" ht="15" customHeight="1" x14ac:dyDescent="0.2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</row>
    <row r="395" spans="3:16" ht="15" customHeight="1" x14ac:dyDescent="0.2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</row>
    <row r="396" spans="3:16" ht="15" customHeight="1" x14ac:dyDescent="0.2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</row>
    <row r="397" spans="3:16" ht="15" customHeight="1" x14ac:dyDescent="0.2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</row>
    <row r="398" spans="3:16" ht="15" customHeight="1" x14ac:dyDescent="0.2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</row>
    <row r="399" spans="3:16" ht="15" customHeight="1" x14ac:dyDescent="0.2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</row>
    <row r="400" spans="3:16" ht="15" customHeight="1" x14ac:dyDescent="0.2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</row>
    <row r="401" spans="3:16" ht="15" customHeight="1" x14ac:dyDescent="0.2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</row>
    <row r="402" spans="3:16" ht="15" customHeight="1" x14ac:dyDescent="0.2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</row>
    <row r="403" spans="3:16" ht="15" customHeight="1" x14ac:dyDescent="0.2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</row>
    <row r="404" spans="3:16" ht="15" customHeight="1" x14ac:dyDescent="0.2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</row>
    <row r="405" spans="3:16" ht="15" customHeight="1" x14ac:dyDescent="0.2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</row>
    <row r="406" spans="3:16" ht="15" customHeight="1" x14ac:dyDescent="0.2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</row>
    <row r="407" spans="3:16" ht="15" customHeight="1" x14ac:dyDescent="0.2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</row>
    <row r="408" spans="3:16" ht="15" customHeight="1" x14ac:dyDescent="0.2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</row>
    <row r="409" spans="3:16" ht="15" customHeight="1" x14ac:dyDescent="0.2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</row>
    <row r="410" spans="3:16" ht="15" customHeight="1" x14ac:dyDescent="0.2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</row>
    <row r="411" spans="3:16" ht="15" customHeight="1" x14ac:dyDescent="0.2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</row>
    <row r="412" spans="3:16" ht="15" customHeight="1" x14ac:dyDescent="0.2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</row>
    <row r="413" spans="3:16" ht="15" customHeight="1" x14ac:dyDescent="0.2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</row>
    <row r="414" spans="3:16" ht="15" customHeight="1" x14ac:dyDescent="0.2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</row>
    <row r="415" spans="3:16" ht="15" customHeight="1" x14ac:dyDescent="0.2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</row>
    <row r="416" spans="3:16" ht="15" customHeight="1" x14ac:dyDescent="0.2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</row>
    <row r="417" spans="3:16" ht="15" customHeight="1" x14ac:dyDescent="0.2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</row>
    <row r="418" spans="3:16" ht="15" customHeight="1" x14ac:dyDescent="0.2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</row>
    <row r="419" spans="3:16" ht="15" customHeight="1" x14ac:dyDescent="0.2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</row>
    <row r="420" spans="3:16" ht="15" customHeight="1" x14ac:dyDescent="0.2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</row>
    <row r="421" spans="3:16" ht="15" customHeight="1" x14ac:dyDescent="0.2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</row>
    <row r="422" spans="3:16" ht="15" customHeight="1" x14ac:dyDescent="0.2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</row>
    <row r="423" spans="3:16" ht="15" customHeight="1" x14ac:dyDescent="0.2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</row>
    <row r="424" spans="3:16" ht="15" customHeight="1" x14ac:dyDescent="0.2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</row>
    <row r="425" spans="3:16" ht="15" customHeight="1" x14ac:dyDescent="0.2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</row>
    <row r="426" spans="3:16" ht="15" customHeight="1" x14ac:dyDescent="0.2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</row>
    <row r="427" spans="3:16" ht="15" customHeight="1" x14ac:dyDescent="0.2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</row>
    <row r="428" spans="3:16" ht="15" customHeight="1" x14ac:dyDescent="0.2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</row>
    <row r="429" spans="3:16" ht="15" customHeight="1" x14ac:dyDescent="0.2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</row>
    <row r="430" spans="3:16" ht="15" customHeight="1" x14ac:dyDescent="0.2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</row>
    <row r="431" spans="3:16" ht="15" customHeight="1" x14ac:dyDescent="0.2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</row>
    <row r="432" spans="3:16" ht="15" customHeight="1" x14ac:dyDescent="0.2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</row>
    <row r="433" spans="3:16" ht="15" customHeight="1" x14ac:dyDescent="0.2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</row>
    <row r="434" spans="3:16" ht="15" customHeight="1" x14ac:dyDescent="0.2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</row>
    <row r="435" spans="3:16" ht="15" customHeight="1" x14ac:dyDescent="0.2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</row>
    <row r="436" spans="3:16" ht="15" customHeight="1" x14ac:dyDescent="0.2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</row>
    <row r="437" spans="3:16" ht="15" customHeight="1" x14ac:dyDescent="0.2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</row>
    <row r="438" spans="3:16" ht="15" customHeight="1" x14ac:dyDescent="0.2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</row>
    <row r="439" spans="3:16" ht="15" customHeight="1" x14ac:dyDescent="0.2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</row>
    <row r="440" spans="3:16" ht="15" customHeight="1" x14ac:dyDescent="0.2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</row>
    <row r="441" spans="3:16" ht="15" customHeight="1" x14ac:dyDescent="0.2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</row>
    <row r="442" spans="3:16" ht="15" customHeight="1" x14ac:dyDescent="0.2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</row>
    <row r="443" spans="3:16" ht="15" customHeight="1" x14ac:dyDescent="0.2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</row>
    <row r="444" spans="3:16" ht="15" customHeight="1" x14ac:dyDescent="0.2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</row>
    <row r="445" spans="3:16" ht="15" customHeight="1" x14ac:dyDescent="0.2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</row>
    <row r="446" spans="3:16" ht="15" customHeight="1" x14ac:dyDescent="0.2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</row>
    <row r="447" spans="3:16" ht="15" customHeight="1" x14ac:dyDescent="0.2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</row>
    <row r="448" spans="3:16" ht="15" customHeight="1" x14ac:dyDescent="0.2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</row>
    <row r="449" spans="3:16" ht="15" customHeight="1" x14ac:dyDescent="0.2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</row>
    <row r="450" spans="3:16" ht="15" customHeight="1" x14ac:dyDescent="0.2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</row>
    <row r="451" spans="3:16" ht="15" customHeight="1" x14ac:dyDescent="0.2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</row>
    <row r="452" spans="3:16" ht="15" customHeight="1" x14ac:dyDescent="0.2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</row>
    <row r="453" spans="3:16" ht="15" customHeight="1" x14ac:dyDescent="0.2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</row>
    <row r="454" spans="3:16" ht="15" customHeight="1" x14ac:dyDescent="0.2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</row>
    <row r="455" spans="3:16" ht="15" customHeight="1" x14ac:dyDescent="0.2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</row>
    <row r="456" spans="3:16" ht="15" customHeight="1" x14ac:dyDescent="0.2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</row>
    <row r="457" spans="3:16" ht="15" customHeight="1" x14ac:dyDescent="0.2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</row>
    <row r="458" spans="3:16" ht="15" customHeight="1" x14ac:dyDescent="0.2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</row>
    <row r="459" spans="3:16" ht="15" customHeight="1" x14ac:dyDescent="0.2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</row>
    <row r="460" spans="3:16" ht="15" customHeight="1" x14ac:dyDescent="0.2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</row>
    <row r="461" spans="3:16" ht="15" customHeight="1" x14ac:dyDescent="0.2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</row>
    <row r="462" spans="3:16" ht="15" customHeight="1" x14ac:dyDescent="0.2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</row>
    <row r="463" spans="3:16" ht="15" customHeight="1" x14ac:dyDescent="0.2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</row>
    <row r="464" spans="3:16" ht="15" customHeight="1" x14ac:dyDescent="0.2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</row>
    <row r="465" spans="3:16" ht="15" customHeight="1" x14ac:dyDescent="0.2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</row>
    <row r="466" spans="3:16" ht="15" customHeight="1" x14ac:dyDescent="0.2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</row>
    <row r="467" spans="3:16" ht="15" customHeight="1" x14ac:dyDescent="0.2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</row>
    <row r="468" spans="3:16" ht="15" customHeight="1" x14ac:dyDescent="0.2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</row>
    <row r="469" spans="3:16" ht="15" customHeight="1" x14ac:dyDescent="0.2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</row>
    <row r="470" spans="3:16" ht="15" customHeight="1" x14ac:dyDescent="0.2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</row>
    <row r="471" spans="3:16" ht="15" customHeight="1" x14ac:dyDescent="0.2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</row>
    <row r="472" spans="3:16" ht="15" customHeight="1" x14ac:dyDescent="0.2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</row>
    <row r="473" spans="3:16" ht="15" customHeight="1" x14ac:dyDescent="0.2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</row>
    <row r="474" spans="3:16" ht="15" customHeight="1" x14ac:dyDescent="0.2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</row>
    <row r="475" spans="3:16" ht="15" customHeight="1" x14ac:dyDescent="0.2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</row>
    <row r="476" spans="3:16" ht="15" customHeight="1" x14ac:dyDescent="0.2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</row>
    <row r="477" spans="3:16" ht="15" customHeight="1" x14ac:dyDescent="0.2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</row>
    <row r="478" spans="3:16" ht="15" customHeight="1" x14ac:dyDescent="0.2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</row>
    <row r="479" spans="3:16" ht="15" customHeight="1" x14ac:dyDescent="0.2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</row>
    <row r="480" spans="3:16" ht="15" customHeight="1" x14ac:dyDescent="0.2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</row>
    <row r="481" spans="3:16" ht="15" customHeight="1" x14ac:dyDescent="0.2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</row>
    <row r="482" spans="3:16" ht="15" customHeight="1" x14ac:dyDescent="0.2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</row>
    <row r="483" spans="3:16" ht="15" customHeight="1" x14ac:dyDescent="0.2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</row>
    <row r="484" spans="3:16" ht="15" customHeight="1" x14ac:dyDescent="0.2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</row>
    <row r="485" spans="3:16" ht="15" customHeight="1" x14ac:dyDescent="0.2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</row>
    <row r="486" spans="3:16" ht="15" customHeight="1" x14ac:dyDescent="0.2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</row>
    <row r="487" spans="3:16" ht="15" customHeight="1" x14ac:dyDescent="0.2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</row>
    <row r="488" spans="3:16" ht="15" customHeight="1" x14ac:dyDescent="0.2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</row>
    <row r="489" spans="3:16" ht="15" customHeight="1" x14ac:dyDescent="0.2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</row>
    <row r="490" spans="3:16" ht="15" customHeight="1" x14ac:dyDescent="0.2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</row>
    <row r="491" spans="3:16" ht="15" customHeight="1" x14ac:dyDescent="0.2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</row>
    <row r="492" spans="3:16" ht="15" customHeight="1" x14ac:dyDescent="0.2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</row>
    <row r="493" spans="3:16" ht="15" customHeight="1" x14ac:dyDescent="0.2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</row>
    <row r="494" spans="3:16" ht="15" customHeight="1" x14ac:dyDescent="0.2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</row>
    <row r="495" spans="3:16" ht="15" customHeight="1" x14ac:dyDescent="0.2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</row>
    <row r="496" spans="3:16" ht="15" customHeight="1" x14ac:dyDescent="0.2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</row>
    <row r="497" spans="3:16" ht="15" customHeight="1" x14ac:dyDescent="0.2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</row>
    <row r="498" spans="3:16" ht="15" customHeight="1" x14ac:dyDescent="0.2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</row>
    <row r="499" spans="3:16" ht="15" customHeight="1" x14ac:dyDescent="0.2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</row>
    <row r="500" spans="3:16" ht="15" customHeight="1" x14ac:dyDescent="0.2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</row>
    <row r="501" spans="3:16" ht="15" customHeight="1" x14ac:dyDescent="0.2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</row>
    <row r="502" spans="3:16" ht="15" customHeight="1" x14ac:dyDescent="0.2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</row>
    <row r="503" spans="3:16" ht="15" customHeight="1" x14ac:dyDescent="0.2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</row>
    <row r="504" spans="3:16" ht="15" customHeight="1" x14ac:dyDescent="0.2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</row>
    <row r="505" spans="3:16" ht="15" customHeight="1" x14ac:dyDescent="0.2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</row>
    <row r="506" spans="3:16" ht="15" customHeight="1" x14ac:dyDescent="0.2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</row>
    <row r="507" spans="3:16" ht="15" customHeight="1" x14ac:dyDescent="0.2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</row>
    <row r="508" spans="3:16" ht="15" customHeight="1" x14ac:dyDescent="0.2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</row>
    <row r="509" spans="3:16" ht="15" customHeight="1" x14ac:dyDescent="0.2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</row>
    <row r="510" spans="3:16" ht="15" customHeight="1" x14ac:dyDescent="0.2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</row>
    <row r="511" spans="3:16" ht="15" customHeight="1" x14ac:dyDescent="0.2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</row>
    <row r="512" spans="3:16" ht="15" customHeight="1" x14ac:dyDescent="0.2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</row>
    <row r="513" spans="3:16" ht="15" customHeight="1" x14ac:dyDescent="0.2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</row>
    <row r="514" spans="3:16" ht="15" customHeight="1" x14ac:dyDescent="0.2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</row>
    <row r="515" spans="3:16" ht="15" customHeight="1" x14ac:dyDescent="0.2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</row>
    <row r="516" spans="3:16" ht="15" customHeight="1" x14ac:dyDescent="0.2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</row>
    <row r="517" spans="3:16" ht="15" customHeight="1" x14ac:dyDescent="0.2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</row>
    <row r="518" spans="3:16" ht="15" customHeight="1" x14ac:dyDescent="0.2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</row>
    <row r="519" spans="3:16" ht="15" customHeight="1" x14ac:dyDescent="0.2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</row>
    <row r="520" spans="3:16" ht="15" customHeight="1" x14ac:dyDescent="0.2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</row>
    <row r="521" spans="3:16" ht="15" customHeight="1" x14ac:dyDescent="0.2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</row>
    <row r="522" spans="3:16" ht="15" customHeight="1" x14ac:dyDescent="0.2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</row>
    <row r="523" spans="3:16" ht="15" customHeight="1" x14ac:dyDescent="0.2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</row>
    <row r="524" spans="3:16" ht="15" customHeight="1" x14ac:dyDescent="0.2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</row>
    <row r="525" spans="3:16" ht="15" customHeight="1" x14ac:dyDescent="0.2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</row>
    <row r="526" spans="3:16" ht="15" customHeight="1" x14ac:dyDescent="0.2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</row>
    <row r="527" spans="3:16" ht="15" customHeight="1" x14ac:dyDescent="0.2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</row>
    <row r="528" spans="3:16" ht="15" customHeight="1" x14ac:dyDescent="0.2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</row>
    <row r="529" spans="3:16" ht="15" customHeight="1" x14ac:dyDescent="0.2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</row>
    <row r="530" spans="3:16" ht="15" customHeight="1" x14ac:dyDescent="0.2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</row>
    <row r="531" spans="3:16" ht="15" customHeight="1" x14ac:dyDescent="0.2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</row>
    <row r="532" spans="3:16" ht="15" customHeight="1" x14ac:dyDescent="0.2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</row>
    <row r="533" spans="3:16" ht="15" customHeight="1" x14ac:dyDescent="0.2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</row>
    <row r="534" spans="3:16" ht="15" customHeight="1" x14ac:dyDescent="0.2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</row>
    <row r="535" spans="3:16" ht="15" customHeight="1" x14ac:dyDescent="0.2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</row>
    <row r="536" spans="3:16" ht="15" customHeight="1" x14ac:dyDescent="0.2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</row>
    <row r="537" spans="3:16" ht="15" customHeight="1" x14ac:dyDescent="0.2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</row>
    <row r="538" spans="3:16" ht="15" customHeight="1" x14ac:dyDescent="0.2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</row>
    <row r="539" spans="3:16" ht="15" customHeight="1" x14ac:dyDescent="0.2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</row>
    <row r="540" spans="3:16" ht="15" customHeight="1" x14ac:dyDescent="0.2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</row>
    <row r="541" spans="3:16" ht="15" customHeight="1" x14ac:dyDescent="0.2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</row>
    <row r="542" spans="3:16" ht="15" customHeight="1" x14ac:dyDescent="0.2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</row>
    <row r="543" spans="3:16" ht="15" customHeight="1" x14ac:dyDescent="0.2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</row>
    <row r="544" spans="3:16" ht="15" customHeight="1" x14ac:dyDescent="0.2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</row>
    <row r="545" spans="3:16" ht="15" customHeight="1" x14ac:dyDescent="0.2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</row>
    <row r="546" spans="3:16" ht="15" customHeight="1" x14ac:dyDescent="0.2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</row>
    <row r="547" spans="3:16" ht="15" customHeight="1" x14ac:dyDescent="0.2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</row>
    <row r="548" spans="3:16" ht="15" customHeight="1" x14ac:dyDescent="0.2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</row>
    <row r="549" spans="3:16" ht="15" customHeight="1" x14ac:dyDescent="0.2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</row>
    <row r="550" spans="3:16" ht="15" customHeight="1" x14ac:dyDescent="0.2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</row>
    <row r="551" spans="3:16" ht="15" customHeight="1" x14ac:dyDescent="0.2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</row>
    <row r="552" spans="3:16" ht="15" customHeight="1" x14ac:dyDescent="0.2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</row>
    <row r="553" spans="3:16" ht="15" customHeight="1" x14ac:dyDescent="0.2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</row>
    <row r="554" spans="3:16" ht="15" customHeight="1" x14ac:dyDescent="0.2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</row>
    <row r="555" spans="3:16" ht="15" customHeight="1" x14ac:dyDescent="0.2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</row>
    <row r="556" spans="3:16" ht="15" customHeight="1" x14ac:dyDescent="0.2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</row>
    <row r="557" spans="3:16" ht="15" customHeight="1" x14ac:dyDescent="0.2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</row>
    <row r="558" spans="3:16" ht="15" customHeight="1" x14ac:dyDescent="0.2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</row>
    <row r="559" spans="3:16" ht="15" customHeight="1" x14ac:dyDescent="0.2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</row>
    <row r="560" spans="3:16" ht="15" customHeight="1" x14ac:dyDescent="0.2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</row>
    <row r="561" spans="3:16" ht="15" customHeight="1" x14ac:dyDescent="0.2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</row>
    <row r="562" spans="3:16" ht="15" customHeight="1" x14ac:dyDescent="0.2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</row>
    <row r="563" spans="3:16" ht="15" customHeight="1" x14ac:dyDescent="0.2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</row>
    <row r="564" spans="3:16" ht="15" customHeight="1" x14ac:dyDescent="0.2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</row>
    <row r="565" spans="3:16" ht="15" customHeight="1" x14ac:dyDescent="0.2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</row>
    <row r="566" spans="3:16" ht="15" customHeight="1" x14ac:dyDescent="0.2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3:16" ht="15" customHeight="1" x14ac:dyDescent="0.2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3:16" ht="15" customHeight="1" x14ac:dyDescent="0.2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3:16" ht="15" customHeight="1" x14ac:dyDescent="0.2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</row>
    <row r="570" spans="3:16" ht="15" customHeight="1" x14ac:dyDescent="0.2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3:16" ht="15" customHeight="1" x14ac:dyDescent="0.2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</row>
    <row r="572" spans="3:16" ht="15" customHeight="1" x14ac:dyDescent="0.2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</row>
    <row r="573" spans="3:16" ht="15" customHeight="1" x14ac:dyDescent="0.2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</row>
    <row r="574" spans="3:16" ht="15" customHeight="1" x14ac:dyDescent="0.2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</row>
    <row r="575" spans="3:16" x14ac:dyDescent="0.2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</row>
    <row r="576" spans="3:16" x14ac:dyDescent="0.2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</row>
    <row r="577" spans="3:15" x14ac:dyDescent="0.2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</row>
    <row r="578" spans="3:15" x14ac:dyDescent="0.2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</row>
    <row r="579" spans="3:15" x14ac:dyDescent="0.2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</row>
  </sheetData>
  <mergeCells count="6">
    <mergeCell ref="B51:O51"/>
    <mergeCell ref="B25:O25"/>
    <mergeCell ref="B7:O7"/>
    <mergeCell ref="B17:O17"/>
    <mergeCell ref="B35:O35"/>
    <mergeCell ref="B43:O43"/>
  </mergeCells>
  <phoneticPr fontId="11" type="noConversion"/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9"/>
  <sheetViews>
    <sheetView showGridLines="0" zoomScale="70" zoomScaleNormal="70" workbookViewId="0">
      <selection activeCell="A11" sqref="A11"/>
    </sheetView>
  </sheetViews>
  <sheetFormatPr baseColWidth="10" defaultColWidth="9.140625" defaultRowHeight="12.75" x14ac:dyDescent="0.2"/>
  <cols>
    <col min="1" max="1" width="7.140625" style="2" customWidth="1"/>
    <col min="2" max="2" width="79.42578125" style="2" bestFit="1" customWidth="1"/>
    <col min="3" max="8" width="16.5703125" style="2" bestFit="1" customWidth="1"/>
    <col min="9" max="10" width="17.7109375" style="2" bestFit="1" customWidth="1"/>
    <col min="11" max="11" width="19.42578125" style="2" bestFit="1" customWidth="1"/>
    <col min="12" max="12" width="17.7109375" style="2" bestFit="1" customWidth="1"/>
    <col min="13" max="13" width="18.28515625" style="2" bestFit="1" customWidth="1"/>
    <col min="14" max="15" width="17.7109375" style="2" bestFit="1" customWidth="1"/>
    <col min="16" max="16" width="19.42578125" style="2" bestFit="1" customWidth="1"/>
    <col min="17" max="17" width="5.7109375" style="2" customWidth="1"/>
    <col min="18" max="65" width="25.28515625" style="2" bestFit="1" customWidth="1"/>
    <col min="66" max="66" width="24.85546875" style="2" bestFit="1" customWidth="1"/>
    <col min="67" max="67" width="28.140625" style="2" bestFit="1" customWidth="1"/>
    <col min="68" max="68" width="25.28515625" style="2" bestFit="1" customWidth="1"/>
    <col min="69" max="71" width="23.85546875" style="2" bestFit="1" customWidth="1"/>
    <col min="72" max="72" width="23.5703125" style="2" bestFit="1" customWidth="1"/>
    <col min="73" max="73" width="27.28515625" style="2" bestFit="1" customWidth="1"/>
    <col min="74" max="74" width="32" style="2" bestFit="1" customWidth="1"/>
    <col min="75" max="75" width="28.28515625" style="2" bestFit="1" customWidth="1"/>
    <col min="76" max="76" width="30.7109375" style="2" bestFit="1" customWidth="1"/>
    <col min="77" max="77" width="29.5703125" style="2" bestFit="1" customWidth="1"/>
    <col min="78" max="16384" width="9.140625" style="2"/>
  </cols>
  <sheetData>
    <row r="1" spans="1:77" ht="15.75" x14ac:dyDescent="0.25">
      <c r="B1" s="1"/>
      <c r="P1" s="3"/>
    </row>
    <row r="2" spans="1:77" customFormat="1" ht="30" customHeight="1" x14ac:dyDescent="0.25">
      <c r="A2" s="18"/>
      <c r="B2" s="18" t="s">
        <v>38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77" s="4" customFormat="1" ht="15" customHeight="1" x14ac:dyDescent="0.2"/>
    <row r="4" spans="1:77" s="4" customFormat="1" ht="19.5" customHeight="1" x14ac:dyDescent="0.2">
      <c r="B4" s="19" t="s">
        <v>0</v>
      </c>
    </row>
    <row r="5" spans="1:77" s="4" customFormat="1" ht="7.5" customHeight="1" x14ac:dyDescent="0.25">
      <c r="P5"/>
    </row>
    <row r="6" spans="1:77" s="4" customFormat="1" ht="15" x14ac:dyDescent="0.25">
      <c r="P6"/>
    </row>
    <row r="7" spans="1:77" s="4" customFormat="1" ht="18.75" x14ac:dyDescent="0.3">
      <c r="B7" s="32" t="s">
        <v>21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/>
    </row>
    <row r="8" spans="1:77" s="5" customFormat="1" ht="15" customHeight="1" x14ac:dyDescent="0.25">
      <c r="B8" t="s">
        <v>39</v>
      </c>
      <c r="C8" t="s">
        <v>1</v>
      </c>
      <c r="D8" t="s">
        <v>2</v>
      </c>
      <c r="E8" t="s">
        <v>3</v>
      </c>
      <c r="F8" t="s">
        <v>4</v>
      </c>
      <c r="G8" t="s">
        <v>5</v>
      </c>
      <c r="H8" t="s">
        <v>6</v>
      </c>
      <c r="I8" t="s">
        <v>7</v>
      </c>
      <c r="J8" t="s">
        <v>8</v>
      </c>
      <c r="K8" t="s">
        <v>9</v>
      </c>
      <c r="L8" t="s">
        <v>10</v>
      </c>
      <c r="M8" t="s">
        <v>11</v>
      </c>
      <c r="N8" t="s">
        <v>12</v>
      </c>
      <c r="O8" t="s">
        <v>13</v>
      </c>
      <c r="P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</row>
    <row r="9" spans="1:77" s="8" customFormat="1" ht="15" customHeight="1" x14ac:dyDescent="0.25">
      <c r="B9" t="s">
        <v>31</v>
      </c>
      <c r="C9" s="21">
        <v>100</v>
      </c>
      <c r="D9" s="21">
        <v>200</v>
      </c>
      <c r="E9" s="21">
        <v>300</v>
      </c>
      <c r="F9" s="21">
        <v>200</v>
      </c>
      <c r="G9" s="21">
        <v>200</v>
      </c>
      <c r="H9" s="21">
        <v>500</v>
      </c>
      <c r="I9" s="21">
        <v>500</v>
      </c>
      <c r="J9" s="21">
        <v>500</v>
      </c>
      <c r="K9" s="21">
        <v>500</v>
      </c>
      <c r="L9" s="21">
        <v>500</v>
      </c>
      <c r="M9" s="21">
        <v>500</v>
      </c>
      <c r="N9" s="21">
        <v>500</v>
      </c>
      <c r="O9" s="21">
        <f>SUM(Comidas!$C9:$N9)</f>
        <v>4500</v>
      </c>
      <c r="P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</row>
    <row r="10" spans="1:77" s="8" customFormat="1" ht="15" customHeight="1" x14ac:dyDescent="0.25">
      <c r="B10" t="s">
        <v>32</v>
      </c>
      <c r="C10" s="21">
        <v>300</v>
      </c>
      <c r="D10" s="21">
        <v>500</v>
      </c>
      <c r="E10" s="21">
        <v>500</v>
      </c>
      <c r="F10" s="21">
        <v>500</v>
      </c>
      <c r="G10" s="21">
        <v>500</v>
      </c>
      <c r="H10" s="21">
        <v>500</v>
      </c>
      <c r="I10" s="21">
        <v>700</v>
      </c>
      <c r="J10" s="21">
        <v>700</v>
      </c>
      <c r="K10" s="21">
        <v>700</v>
      </c>
      <c r="L10" s="21">
        <v>700</v>
      </c>
      <c r="M10" s="21">
        <v>700</v>
      </c>
      <c r="N10" s="21">
        <v>700</v>
      </c>
      <c r="O10" s="21">
        <f>SUM(Comidas!$C10:$N10)</f>
        <v>7000</v>
      </c>
      <c r="P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</row>
    <row r="11" spans="1:77" s="8" customFormat="1" ht="15" customHeight="1" x14ac:dyDescent="0.25">
      <c r="B11" t="s">
        <v>33</v>
      </c>
      <c r="C11" s="21">
        <v>100</v>
      </c>
      <c r="D11" s="21">
        <v>100</v>
      </c>
      <c r="E11" s="21">
        <v>100</v>
      </c>
      <c r="F11" s="21">
        <v>100</v>
      </c>
      <c r="G11" s="21">
        <v>100</v>
      </c>
      <c r="H11" s="21">
        <v>100</v>
      </c>
      <c r="I11" s="21">
        <v>100</v>
      </c>
      <c r="J11" s="21">
        <v>100</v>
      </c>
      <c r="K11" s="21">
        <v>100</v>
      </c>
      <c r="L11" s="21">
        <v>100</v>
      </c>
      <c r="M11" s="21">
        <v>100</v>
      </c>
      <c r="N11" s="21">
        <v>100</v>
      </c>
      <c r="O11" s="21">
        <f>SUM(Comidas!$C11:$N11)</f>
        <v>1200</v>
      </c>
      <c r="P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</row>
    <row r="12" spans="1:77" s="8" customFormat="1" ht="15" customHeight="1" x14ac:dyDescent="0.25">
      <c r="B12" t="s">
        <v>19</v>
      </c>
      <c r="C12" s="21">
        <f>SUBTOTAL(109,Table22[ENERO])</f>
        <v>500</v>
      </c>
      <c r="D12" s="21">
        <f>SUBTOTAL(109,Table22[FEBRERO])</f>
        <v>800</v>
      </c>
      <c r="E12" s="21">
        <f>SUBTOTAL(109,Table22[MARZO])</f>
        <v>900</v>
      </c>
      <c r="F12" s="21">
        <f>SUBTOTAL(109,Table22[ABRIL])</f>
        <v>800</v>
      </c>
      <c r="G12" s="21">
        <f>SUBTOTAL(109,Table22[MAYO])</f>
        <v>800</v>
      </c>
      <c r="H12" s="21">
        <f>SUBTOTAL(109,Table22[JUNIO])</f>
        <v>1100</v>
      </c>
      <c r="I12" s="21">
        <f>SUBTOTAL(109,Table22[JULIO])</f>
        <v>1300</v>
      </c>
      <c r="J12" s="21">
        <f>SUBTOTAL(109,Table22[AGOSTO])</f>
        <v>1300</v>
      </c>
      <c r="K12" s="21">
        <f>SUBTOTAL(109,Table22[SEPTIEMBRE])</f>
        <v>1300</v>
      </c>
      <c r="L12" s="21">
        <f>SUBTOTAL(109,Table22[OCTUBRE])</f>
        <v>1300</v>
      </c>
      <c r="M12" s="21">
        <f>SUBTOTAL(109,Table22[NOVIEMBRE])</f>
        <v>1300</v>
      </c>
      <c r="N12" s="21">
        <f>SUBTOTAL(109,Table22[DICIEMBRE])</f>
        <v>1300</v>
      </c>
      <c r="O12" s="21">
        <f>SUBTOTAL(109,Table22[ANUAL])</f>
        <v>12700</v>
      </c>
      <c r="P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77" s="8" customFormat="1" ht="15" customHeight="1" x14ac:dyDescent="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77" s="8" customFormat="1" ht="15" customHeight="1" x14ac:dyDescent="0.25"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77" customFormat="1" ht="15" customHeight="1" x14ac:dyDescent="0.25">
      <c r="A15" s="8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</row>
    <row r="16" spans="1:77" customFormat="1" ht="15" customHeight="1" x14ac:dyDescent="0.25">
      <c r="A16" s="8"/>
      <c r="B16" s="9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</row>
    <row r="17" spans="2:16384" s="1" customFormat="1" ht="18.75" x14ac:dyDescent="0.3">
      <c r="B17" s="32" t="s">
        <v>22</v>
      </c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  <row r="18" spans="2:16384" s="8" customFormat="1" ht="15" customHeight="1" x14ac:dyDescent="0.25">
      <c r="B18" t="s">
        <v>39</v>
      </c>
      <c r="C18" t="s">
        <v>1</v>
      </c>
      <c r="D18" t="s">
        <v>2</v>
      </c>
      <c r="E18" t="s">
        <v>3</v>
      </c>
      <c r="F18" t="s">
        <v>4</v>
      </c>
      <c r="G18" t="s">
        <v>5</v>
      </c>
      <c r="H18" t="s">
        <v>6</v>
      </c>
      <c r="I18" t="s">
        <v>7</v>
      </c>
      <c r="J18" t="s">
        <v>8</v>
      </c>
      <c r="K18" t="s">
        <v>9</v>
      </c>
      <c r="L18" t="s">
        <v>10</v>
      </c>
      <c r="M18" t="s">
        <v>11</v>
      </c>
      <c r="N18" t="s">
        <v>12</v>
      </c>
      <c r="O18" t="s">
        <v>13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  <c r="XFD18"/>
    </row>
    <row r="19" spans="2:16384" s="8" customFormat="1" ht="15" customHeight="1" x14ac:dyDescent="0.25">
      <c r="B19" t="s">
        <v>31</v>
      </c>
      <c r="C19" s="21">
        <v>800</v>
      </c>
      <c r="D19" s="21">
        <v>800</v>
      </c>
      <c r="E19" s="21">
        <v>1300</v>
      </c>
      <c r="F19" s="21">
        <v>1300</v>
      </c>
      <c r="G19" s="21">
        <v>1300</v>
      </c>
      <c r="H19" s="21">
        <v>1300</v>
      </c>
      <c r="I19" s="21">
        <v>4000</v>
      </c>
      <c r="J19" s="21">
        <v>4500</v>
      </c>
      <c r="K19" s="21">
        <v>4500</v>
      </c>
      <c r="L19" s="21">
        <v>4500</v>
      </c>
      <c r="M19" s="21">
        <v>4500</v>
      </c>
      <c r="N19" s="21">
        <v>1000</v>
      </c>
      <c r="O19" s="21">
        <f>SUM(Table37[[#This Row],[ENERO]:[DICIEMBRE]])</f>
        <v>29800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  <c r="XFD19"/>
    </row>
    <row r="20" spans="2:16384" s="8" customFormat="1" ht="15" customHeight="1" x14ac:dyDescent="0.25">
      <c r="B20" t="s">
        <v>32</v>
      </c>
      <c r="C20" s="21">
        <v>1500</v>
      </c>
      <c r="D20" s="21">
        <v>1500</v>
      </c>
      <c r="E20" s="21">
        <v>1500</v>
      </c>
      <c r="F20" s="21">
        <v>1500</v>
      </c>
      <c r="G20" s="21">
        <v>1500</v>
      </c>
      <c r="H20" s="21">
        <v>900</v>
      </c>
      <c r="I20" s="21">
        <v>3000</v>
      </c>
      <c r="J20" s="21">
        <v>3000</v>
      </c>
      <c r="K20" s="21">
        <v>3000</v>
      </c>
      <c r="L20" s="21">
        <v>3000</v>
      </c>
      <c r="M20" s="21">
        <v>3000</v>
      </c>
      <c r="N20" s="21">
        <v>3000</v>
      </c>
      <c r="O20" s="21">
        <f>SUM(Table37[[#This Row],[ENERO]:[DICIEMBRE]])</f>
        <v>26400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  <c r="XFD20"/>
    </row>
    <row r="21" spans="2:16384" s="8" customFormat="1" ht="15" customHeight="1" x14ac:dyDescent="0.25">
      <c r="B21" t="s">
        <v>33</v>
      </c>
      <c r="C21" s="21">
        <v>1900</v>
      </c>
      <c r="D21" s="21">
        <v>1900</v>
      </c>
      <c r="E21" s="21">
        <v>1900</v>
      </c>
      <c r="F21" s="21">
        <v>1900</v>
      </c>
      <c r="G21" s="21">
        <v>1900</v>
      </c>
      <c r="H21" s="21">
        <v>1050</v>
      </c>
      <c r="I21" s="21">
        <v>1050</v>
      </c>
      <c r="J21" s="21">
        <v>1050</v>
      </c>
      <c r="K21" s="21">
        <v>1050</v>
      </c>
      <c r="L21" s="21">
        <v>1050</v>
      </c>
      <c r="M21" s="21">
        <v>1050</v>
      </c>
      <c r="N21" s="21">
        <v>1050</v>
      </c>
      <c r="O21" s="21">
        <f>SUM(Table37[[#This Row],[ENERO]:[DICIEMBRE]])</f>
        <v>16850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  <c r="XFD21"/>
    </row>
    <row r="22" spans="2:16384" s="8" customFormat="1" ht="15" customHeight="1" x14ac:dyDescent="0.25">
      <c r="B22" t="s">
        <v>19</v>
      </c>
      <c r="C22" s="21">
        <f>SUBTOTAL(109,Table37[ENERO])</f>
        <v>4200</v>
      </c>
      <c r="D22" s="21">
        <f>SUBTOTAL(109,Table37[FEBRERO])</f>
        <v>4200</v>
      </c>
      <c r="E22" s="21">
        <f>SUBTOTAL(109,Table37[MARZO])</f>
        <v>4700</v>
      </c>
      <c r="F22" s="21">
        <f>SUBTOTAL(109,Table37[ABRIL])</f>
        <v>4700</v>
      </c>
      <c r="G22" s="21">
        <f>SUBTOTAL(109,Table37[MAYO])</f>
        <v>4700</v>
      </c>
      <c r="H22" s="21">
        <f>SUBTOTAL(109,Table37[JUNIO])</f>
        <v>3250</v>
      </c>
      <c r="I22" s="21">
        <f>SUBTOTAL(109,Table37[JULIO])</f>
        <v>8050</v>
      </c>
      <c r="J22" s="21">
        <f>SUBTOTAL(109,Table37[AGOSTO])</f>
        <v>8550</v>
      </c>
      <c r="K22" s="21">
        <f>SUBTOTAL(109,Table37[SEPTIEMBRE])</f>
        <v>8550</v>
      </c>
      <c r="L22" s="21">
        <f>SUBTOTAL(109,Table37[OCTUBRE])</f>
        <v>8550</v>
      </c>
      <c r="M22" s="21">
        <f>SUBTOTAL(109,Table37[NOVIEMBRE])</f>
        <v>8550</v>
      </c>
      <c r="N22" s="21">
        <f>SUBTOTAL(109,Table37[DICIEMBRE])</f>
        <v>5050</v>
      </c>
      <c r="O22" s="21">
        <f>SUBTOTAL(109,Table37[ANUAL])</f>
        <v>73050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  <c r="XFD22"/>
    </row>
    <row r="23" spans="2:16384" s="1" customFormat="1" ht="15.75" x14ac:dyDescent="0.25"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  <c r="XFD23"/>
    </row>
    <row r="24" spans="2:16384" s="1" customFormat="1" ht="15.75" x14ac:dyDescent="0.25">
      <c r="B24" s="9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  <c r="XFD24"/>
    </row>
    <row r="25" spans="2:16384" s="8" customFormat="1" ht="15" customHeight="1" x14ac:dyDescent="0.3">
      <c r="B25" s="32" t="s">
        <v>25</v>
      </c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</row>
    <row r="26" spans="2:16384" s="8" customFormat="1" ht="15" customHeight="1" x14ac:dyDescent="0.25">
      <c r="B26" t="s">
        <v>39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26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  <c r="XFD26"/>
    </row>
    <row r="27" spans="2:16384" s="8" customFormat="1" ht="15" customHeight="1" x14ac:dyDescent="0.25">
      <c r="B27" t="s">
        <v>31</v>
      </c>
      <c r="C27" s="21">
        <v>10</v>
      </c>
      <c r="D27" s="21">
        <v>10</v>
      </c>
      <c r="E27" s="21">
        <v>10</v>
      </c>
      <c r="F27" s="21">
        <v>10</v>
      </c>
      <c r="G27" s="21">
        <v>10</v>
      </c>
      <c r="H27" s="21">
        <v>10</v>
      </c>
      <c r="I27" s="21">
        <v>12</v>
      </c>
      <c r="J27" s="21">
        <v>15</v>
      </c>
      <c r="K27" s="21">
        <v>17</v>
      </c>
      <c r="L27" s="21">
        <v>18.5</v>
      </c>
      <c r="M27" s="21">
        <v>19</v>
      </c>
      <c r="N27" s="21">
        <v>20</v>
      </c>
      <c r="O27" s="21">
        <f>AVERAGE(Table48[[#This Row],[ENERO]:[DICIEMBRE]])</f>
        <v>13.458333333333334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  <c r="XFD27"/>
    </row>
    <row r="28" spans="2:16384" s="8" customFormat="1" ht="15" customHeight="1" x14ac:dyDescent="0.25">
      <c r="B28" t="s">
        <v>32</v>
      </c>
      <c r="C28" s="21">
        <v>5</v>
      </c>
      <c r="D28" s="21">
        <v>5</v>
      </c>
      <c r="E28" s="21">
        <v>5</v>
      </c>
      <c r="F28" s="21">
        <v>5</v>
      </c>
      <c r="G28" s="21">
        <v>5</v>
      </c>
      <c r="H28" s="21">
        <v>5</v>
      </c>
      <c r="I28" s="21">
        <v>5</v>
      </c>
      <c r="J28" s="21">
        <v>5</v>
      </c>
      <c r="K28" s="21">
        <v>5</v>
      </c>
      <c r="L28" s="21">
        <v>5</v>
      </c>
      <c r="M28" s="21">
        <v>5</v>
      </c>
      <c r="N28" s="21">
        <v>5</v>
      </c>
      <c r="O28" s="21">
        <f>AVERAGE(Table48[[#This Row],[ENERO]:[DICIEMBRE]])</f>
        <v>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  <c r="XFD28"/>
    </row>
    <row r="29" spans="2:16384" s="8" customFormat="1" ht="15" customHeight="1" x14ac:dyDescent="0.25">
      <c r="B29" t="s">
        <v>33</v>
      </c>
      <c r="C29" s="21">
        <v>24</v>
      </c>
      <c r="D29" s="21">
        <v>24</v>
      </c>
      <c r="E29" s="21">
        <v>24</v>
      </c>
      <c r="F29" s="21">
        <v>24</v>
      </c>
      <c r="G29" s="21">
        <v>24</v>
      </c>
      <c r="H29" s="21">
        <v>24</v>
      </c>
      <c r="I29" s="21">
        <v>24</v>
      </c>
      <c r="J29" s="21">
        <v>24</v>
      </c>
      <c r="K29" s="21">
        <v>24</v>
      </c>
      <c r="L29" s="21">
        <v>24</v>
      </c>
      <c r="M29" s="21">
        <v>24</v>
      </c>
      <c r="N29" s="21">
        <v>24</v>
      </c>
      <c r="O29" s="21">
        <f>AVERAGE(Table48[[#This Row],[ENERO]:[DICIEMBRE]])</f>
        <v>24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  <c r="XFD29"/>
    </row>
    <row r="30" spans="2:16384" s="8" customFormat="1" ht="15" customHeight="1" x14ac:dyDescent="0.25">
      <c r="B30" s="9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  <c r="XFD30"/>
    </row>
    <row r="31" spans="2:16384" s="8" customFormat="1" ht="15.75" x14ac:dyDescent="0.25">
      <c r="B31" s="9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  <c r="XFD31"/>
    </row>
    <row r="32" spans="2:16384" s="1" customFormat="1" ht="15.75" x14ac:dyDescent="0.25">
      <c r="B32" s="9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pans="1:31" customFormat="1" ht="18.75" x14ac:dyDescent="0.25">
      <c r="A33" s="1"/>
      <c r="B33" s="19" t="s">
        <v>17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</row>
    <row r="34" spans="1:31" customFormat="1" ht="15" customHeight="1" x14ac:dyDescent="0.25">
      <c r="A34" s="8"/>
      <c r="B34" s="11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</row>
    <row r="35" spans="1:31" s="8" customFormat="1" ht="15" customHeight="1" x14ac:dyDescent="0.3">
      <c r="B35" s="32" t="s">
        <v>23</v>
      </c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/>
      <c r="Q35" s="14"/>
    </row>
    <row r="36" spans="1:31" s="8" customFormat="1" ht="15" customHeight="1" x14ac:dyDescent="0.25">
      <c r="B36" t="s">
        <v>39</v>
      </c>
      <c r="C36" t="s">
        <v>1</v>
      </c>
      <c r="D36" t="s">
        <v>2</v>
      </c>
      <c r="E36" t="s">
        <v>3</v>
      </c>
      <c r="F36" t="s">
        <v>4</v>
      </c>
      <c r="G36" t="s">
        <v>5</v>
      </c>
      <c r="H36" t="s">
        <v>6</v>
      </c>
      <c r="I36" t="s">
        <v>7</v>
      </c>
      <c r="J36" t="s">
        <v>8</v>
      </c>
      <c r="K36" t="s">
        <v>9</v>
      </c>
      <c r="L36" t="s">
        <v>10</v>
      </c>
      <c r="M36" t="s">
        <v>11</v>
      </c>
      <c r="N36" t="s">
        <v>12</v>
      </c>
      <c r="O36" t="s">
        <v>13</v>
      </c>
      <c r="P36" s="6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3"/>
      <c r="AC36" s="13"/>
      <c r="AD36"/>
      <c r="AE36" s="14"/>
    </row>
    <row r="37" spans="1:31" s="8" customFormat="1" ht="15" customHeight="1" x14ac:dyDescent="0.25">
      <c r="B37" t="s">
        <v>31</v>
      </c>
      <c r="C37" s="21">
        <f t="shared" ref="C37:N37" si="0">C9*C27</f>
        <v>1000</v>
      </c>
      <c r="D37" s="21">
        <f t="shared" si="0"/>
        <v>2000</v>
      </c>
      <c r="E37" s="21">
        <f t="shared" si="0"/>
        <v>3000</v>
      </c>
      <c r="F37" s="21">
        <f t="shared" si="0"/>
        <v>2000</v>
      </c>
      <c r="G37" s="21">
        <f t="shared" si="0"/>
        <v>2000</v>
      </c>
      <c r="H37" s="21">
        <f t="shared" si="0"/>
        <v>5000</v>
      </c>
      <c r="I37" s="21">
        <f t="shared" si="0"/>
        <v>6000</v>
      </c>
      <c r="J37" s="21">
        <f t="shared" si="0"/>
        <v>7500</v>
      </c>
      <c r="K37" s="21">
        <f t="shared" si="0"/>
        <v>8500</v>
      </c>
      <c r="L37" s="21">
        <f t="shared" si="0"/>
        <v>9250</v>
      </c>
      <c r="M37" s="21">
        <f t="shared" si="0"/>
        <v>9500</v>
      </c>
      <c r="N37" s="21">
        <f t="shared" si="0"/>
        <v>10000</v>
      </c>
      <c r="O37" s="21">
        <f>SUM((Table512[[#This Row],[ENERO]:[DICIEMBRE]]))</f>
        <v>65750</v>
      </c>
      <c r="P37"/>
      <c r="Q37" s="14"/>
    </row>
    <row r="38" spans="1:31" s="8" customFormat="1" ht="15" customHeight="1" x14ac:dyDescent="0.25">
      <c r="B38" t="s">
        <v>32</v>
      </c>
      <c r="C38" s="21">
        <f t="shared" ref="C38:N38" si="1">C10*C28</f>
        <v>1500</v>
      </c>
      <c r="D38" s="21">
        <f t="shared" si="1"/>
        <v>2500</v>
      </c>
      <c r="E38" s="21">
        <f t="shared" si="1"/>
        <v>2500</v>
      </c>
      <c r="F38" s="21">
        <f t="shared" si="1"/>
        <v>2500</v>
      </c>
      <c r="G38" s="21">
        <f t="shared" si="1"/>
        <v>2500</v>
      </c>
      <c r="H38" s="21">
        <f t="shared" si="1"/>
        <v>2500</v>
      </c>
      <c r="I38" s="21">
        <f t="shared" si="1"/>
        <v>3500</v>
      </c>
      <c r="J38" s="21">
        <f t="shared" si="1"/>
        <v>3500</v>
      </c>
      <c r="K38" s="21">
        <f t="shared" si="1"/>
        <v>3500</v>
      </c>
      <c r="L38" s="21">
        <f t="shared" si="1"/>
        <v>3500</v>
      </c>
      <c r="M38" s="21">
        <f t="shared" si="1"/>
        <v>3500</v>
      </c>
      <c r="N38" s="21">
        <f t="shared" si="1"/>
        <v>3500</v>
      </c>
      <c r="O38" s="21">
        <f>SUM((Table512[[#This Row],[ENERO]:[DICIEMBRE]]))</f>
        <v>35000</v>
      </c>
      <c r="P38"/>
      <c r="Q38" s="14"/>
    </row>
    <row r="39" spans="1:31" s="8" customFormat="1" ht="15" customHeight="1" x14ac:dyDescent="0.25">
      <c r="B39" t="s">
        <v>33</v>
      </c>
      <c r="C39" s="21">
        <f t="shared" ref="C39:N39" si="2">C11*C29</f>
        <v>2400</v>
      </c>
      <c r="D39" s="21">
        <f t="shared" si="2"/>
        <v>2400</v>
      </c>
      <c r="E39" s="21">
        <f t="shared" si="2"/>
        <v>2400</v>
      </c>
      <c r="F39" s="21">
        <f t="shared" si="2"/>
        <v>2400</v>
      </c>
      <c r="G39" s="21">
        <f t="shared" si="2"/>
        <v>2400</v>
      </c>
      <c r="H39" s="21">
        <f t="shared" si="2"/>
        <v>2400</v>
      </c>
      <c r="I39" s="21">
        <f t="shared" si="2"/>
        <v>2400</v>
      </c>
      <c r="J39" s="21">
        <f t="shared" si="2"/>
        <v>2400</v>
      </c>
      <c r="K39" s="21">
        <f t="shared" si="2"/>
        <v>2400</v>
      </c>
      <c r="L39" s="21">
        <f t="shared" si="2"/>
        <v>2400</v>
      </c>
      <c r="M39" s="21">
        <f t="shared" si="2"/>
        <v>2400</v>
      </c>
      <c r="N39" s="21">
        <f t="shared" si="2"/>
        <v>2400</v>
      </c>
      <c r="O39" s="21">
        <f>SUM((Table512[[#This Row],[ENERO]:[DICIEMBRE]]))</f>
        <v>28800</v>
      </c>
      <c r="P39"/>
      <c r="Q39" s="14"/>
    </row>
    <row r="40" spans="1:31" s="8" customFormat="1" ht="15" customHeight="1" x14ac:dyDescent="0.25">
      <c r="B40" t="s">
        <v>19</v>
      </c>
      <c r="C40" s="21">
        <f>SUBTOTAL(109,Table512[ENERO])</f>
        <v>4900</v>
      </c>
      <c r="D40" s="21">
        <f>SUBTOTAL(109,Table512[FEBRERO])</f>
        <v>6900</v>
      </c>
      <c r="E40" s="21">
        <f>SUBTOTAL(109,Table512[MARZO])</f>
        <v>7900</v>
      </c>
      <c r="F40" s="21">
        <f>SUBTOTAL(109,Table512[ABRIL])</f>
        <v>6900</v>
      </c>
      <c r="G40" s="21">
        <f>SUBTOTAL(109,Table512[MAYO])</f>
        <v>6900</v>
      </c>
      <c r="H40" s="21">
        <f>SUBTOTAL(109,Table512[JUNIO])</f>
        <v>9900</v>
      </c>
      <c r="I40" s="21">
        <f>SUBTOTAL(109,Table512[JULIO])</f>
        <v>11900</v>
      </c>
      <c r="J40" s="21">
        <f>SUBTOTAL(109,Table512[AGOSTO])</f>
        <v>13400</v>
      </c>
      <c r="K40" s="21">
        <f>SUBTOTAL(109,Table512[SEPTIEMBRE])</f>
        <v>14400</v>
      </c>
      <c r="L40" s="21">
        <f>SUBTOTAL(109,Table512[OCTUBRE])</f>
        <v>15150</v>
      </c>
      <c r="M40" s="21">
        <f>SUBTOTAL(109,Table512[NOVIEMBRE])</f>
        <v>15400</v>
      </c>
      <c r="N40" s="21">
        <f>SUBTOTAL(109,Table512[DICIEMBRE])</f>
        <v>15900</v>
      </c>
      <c r="O40" s="21">
        <f>SUBTOTAL(109,Table512[ANUAL])</f>
        <v>129550</v>
      </c>
      <c r="P40"/>
      <c r="Q40" s="14"/>
    </row>
    <row r="41" spans="1:31" s="1" customFormat="1" ht="15.75" x14ac:dyDescent="0.25">
      <c r="B41" s="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/>
    </row>
    <row r="42" spans="1:31" s="8" customFormat="1" ht="15" customHeight="1" x14ac:dyDescent="0.25">
      <c r="B42" s="9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/>
    </row>
    <row r="43" spans="1:31" s="8" customFormat="1" ht="15" customHeight="1" x14ac:dyDescent="0.3">
      <c r="B43" s="32" t="s">
        <v>18</v>
      </c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/>
    </row>
    <row r="44" spans="1:31" s="8" customFormat="1" ht="15" customHeight="1" x14ac:dyDescent="0.25">
      <c r="B44" t="s">
        <v>39</v>
      </c>
      <c r="C44" t="s">
        <v>1</v>
      </c>
      <c r="D44" t="s">
        <v>2</v>
      </c>
      <c r="E44" t="s">
        <v>3</v>
      </c>
      <c r="F44" t="s">
        <v>4</v>
      </c>
      <c r="G44" t="s">
        <v>5</v>
      </c>
      <c r="H44" t="s">
        <v>6</v>
      </c>
      <c r="I44" t="s">
        <v>7</v>
      </c>
      <c r="J44" t="s">
        <v>8</v>
      </c>
      <c r="K44" t="s">
        <v>9</v>
      </c>
      <c r="L44" t="s">
        <v>10</v>
      </c>
      <c r="M44" t="s">
        <v>11</v>
      </c>
      <c r="N44" t="s">
        <v>12</v>
      </c>
      <c r="O44" t="s">
        <v>13</v>
      </c>
      <c r="P44"/>
    </row>
    <row r="45" spans="1:31" s="8" customFormat="1" ht="15" customHeight="1" x14ac:dyDescent="0.25">
      <c r="B45" t="s">
        <v>31</v>
      </c>
      <c r="C45" s="21">
        <f t="shared" ref="C45:N45" si="3">C37-C19</f>
        <v>200</v>
      </c>
      <c r="D45" s="21">
        <f t="shared" si="3"/>
        <v>1200</v>
      </c>
      <c r="E45" s="21">
        <f t="shared" si="3"/>
        <v>1700</v>
      </c>
      <c r="F45" s="21">
        <f t="shared" si="3"/>
        <v>700</v>
      </c>
      <c r="G45" s="21">
        <f t="shared" si="3"/>
        <v>700</v>
      </c>
      <c r="H45" s="21">
        <f t="shared" si="3"/>
        <v>3700</v>
      </c>
      <c r="I45" s="21">
        <f t="shared" si="3"/>
        <v>2000</v>
      </c>
      <c r="J45" s="21">
        <f t="shared" si="3"/>
        <v>3000</v>
      </c>
      <c r="K45" s="21">
        <f t="shared" si="3"/>
        <v>4000</v>
      </c>
      <c r="L45" s="21">
        <f t="shared" si="3"/>
        <v>4750</v>
      </c>
      <c r="M45" s="21">
        <f t="shared" si="3"/>
        <v>5000</v>
      </c>
      <c r="N45" s="21">
        <f t="shared" si="3"/>
        <v>9000</v>
      </c>
      <c r="O45" s="21">
        <f>SUM(C45:N45)</f>
        <v>35950</v>
      </c>
      <c r="P45"/>
    </row>
    <row r="46" spans="1:31" s="8" customFormat="1" ht="15" customHeight="1" x14ac:dyDescent="0.25">
      <c r="B46" t="s">
        <v>32</v>
      </c>
      <c r="C46" s="21">
        <f t="shared" ref="C46:N46" si="4">C38-C20</f>
        <v>0</v>
      </c>
      <c r="D46" s="21">
        <f t="shared" si="4"/>
        <v>1000</v>
      </c>
      <c r="E46" s="21">
        <f t="shared" si="4"/>
        <v>1000</v>
      </c>
      <c r="F46" s="21">
        <f t="shared" si="4"/>
        <v>1000</v>
      </c>
      <c r="G46" s="21">
        <f t="shared" si="4"/>
        <v>1000</v>
      </c>
      <c r="H46" s="21">
        <f t="shared" si="4"/>
        <v>1600</v>
      </c>
      <c r="I46" s="21">
        <f t="shared" si="4"/>
        <v>500</v>
      </c>
      <c r="J46" s="21">
        <f t="shared" si="4"/>
        <v>500</v>
      </c>
      <c r="K46" s="21">
        <f t="shared" si="4"/>
        <v>500</v>
      </c>
      <c r="L46" s="21">
        <f t="shared" si="4"/>
        <v>500</v>
      </c>
      <c r="M46" s="21">
        <f t="shared" si="4"/>
        <v>500</v>
      </c>
      <c r="N46" s="21">
        <f t="shared" si="4"/>
        <v>500</v>
      </c>
      <c r="O46" s="21">
        <f>SUM(C46:N46)</f>
        <v>8600</v>
      </c>
      <c r="P46"/>
    </row>
    <row r="47" spans="1:31" s="8" customFormat="1" ht="15" customHeight="1" x14ac:dyDescent="0.25">
      <c r="B47" t="s">
        <v>33</v>
      </c>
      <c r="C47" s="21">
        <f t="shared" ref="C47:N47" si="5">C39-C21</f>
        <v>500</v>
      </c>
      <c r="D47" s="21">
        <f t="shared" si="5"/>
        <v>500</v>
      </c>
      <c r="E47" s="21">
        <f t="shared" si="5"/>
        <v>500</v>
      </c>
      <c r="F47" s="21">
        <f t="shared" si="5"/>
        <v>500</v>
      </c>
      <c r="G47" s="21">
        <f t="shared" si="5"/>
        <v>500</v>
      </c>
      <c r="H47" s="21">
        <f t="shared" si="5"/>
        <v>1350</v>
      </c>
      <c r="I47" s="21">
        <f t="shared" si="5"/>
        <v>1350</v>
      </c>
      <c r="J47" s="21">
        <f t="shared" si="5"/>
        <v>1350</v>
      </c>
      <c r="K47" s="21">
        <f t="shared" si="5"/>
        <v>1350</v>
      </c>
      <c r="L47" s="21">
        <f t="shared" si="5"/>
        <v>1350</v>
      </c>
      <c r="M47" s="21">
        <f t="shared" si="5"/>
        <v>1350</v>
      </c>
      <c r="N47" s="21">
        <f t="shared" si="5"/>
        <v>1350</v>
      </c>
      <c r="O47" s="21">
        <f>SUM(C47:N47)</f>
        <v>11950</v>
      </c>
      <c r="P47"/>
    </row>
    <row r="48" spans="1:31" s="1" customFormat="1" ht="15.75" x14ac:dyDescent="0.25">
      <c r="B48" t="s">
        <v>19</v>
      </c>
      <c r="C48" s="21">
        <f>SUBTOTAL(109,Table913[ENERO])</f>
        <v>700</v>
      </c>
      <c r="D48" s="21">
        <f>SUBTOTAL(109,Table913[FEBRERO])</f>
        <v>2700</v>
      </c>
      <c r="E48" s="21">
        <f>SUBTOTAL(109,Table913[MARZO])</f>
        <v>3200</v>
      </c>
      <c r="F48" s="21">
        <f>SUBTOTAL(109,Table913[ABRIL])</f>
        <v>2200</v>
      </c>
      <c r="G48" s="21">
        <f>SUBTOTAL(109,Table913[MAYO])</f>
        <v>2200</v>
      </c>
      <c r="H48" s="21">
        <f>SUBTOTAL(109,Table913[JUNIO])</f>
        <v>6650</v>
      </c>
      <c r="I48" s="21">
        <f>SUBTOTAL(109,Table913[JULIO])</f>
        <v>3850</v>
      </c>
      <c r="J48" s="21">
        <f>SUBTOTAL(109,Table913[AGOSTO])</f>
        <v>4850</v>
      </c>
      <c r="K48" s="21">
        <f>SUBTOTAL(109,Table913[SEPTIEMBRE])</f>
        <v>5850</v>
      </c>
      <c r="L48" s="21">
        <f>SUBTOTAL(109,Table913[OCTUBRE])</f>
        <v>6600</v>
      </c>
      <c r="M48" s="21">
        <f>SUBTOTAL(109,Table913[NOVIEMBRE])</f>
        <v>6850</v>
      </c>
      <c r="N48" s="21">
        <f>SUBTOTAL(109,Table913[DICIEMBRE])</f>
        <v>10850</v>
      </c>
      <c r="O48" s="21">
        <f>SUBTOTAL(109,Table913[ANUAL])</f>
        <v>56500</v>
      </c>
      <c r="P48"/>
    </row>
    <row r="49" spans="2:16" s="8" customFormat="1" ht="15" customHeight="1" x14ac:dyDescent="0.25"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/>
    </row>
    <row r="50" spans="2:16" s="8" customFormat="1" ht="15" customHeight="1" x14ac:dyDescent="0.25"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/>
    </row>
    <row r="51" spans="2:16" s="8" customFormat="1" ht="15" customHeight="1" x14ac:dyDescent="0.3">
      <c r="B51" s="32" t="s">
        <v>24</v>
      </c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/>
    </row>
    <row r="52" spans="2:16" ht="15" customHeight="1" x14ac:dyDescent="0.25">
      <c r="B52" t="s">
        <v>39</v>
      </c>
      <c r="C52" t="s">
        <v>1</v>
      </c>
      <c r="D52" t="s">
        <v>2</v>
      </c>
      <c r="E52" t="s">
        <v>3</v>
      </c>
      <c r="F52" t="s">
        <v>4</v>
      </c>
      <c r="G52" t="s">
        <v>5</v>
      </c>
      <c r="H52" t="s">
        <v>6</v>
      </c>
      <c r="I52" t="s">
        <v>7</v>
      </c>
      <c r="J52" t="s">
        <v>8</v>
      </c>
      <c r="K52" t="s">
        <v>9</v>
      </c>
      <c r="L52" t="s">
        <v>10</v>
      </c>
      <c r="M52" t="s">
        <v>11</v>
      </c>
      <c r="N52" t="s">
        <v>12</v>
      </c>
      <c r="O52" t="s">
        <v>13</v>
      </c>
      <c r="P52"/>
    </row>
    <row r="53" spans="2:16" ht="15" customHeight="1" x14ac:dyDescent="0.25">
      <c r="B53" t="s">
        <v>31</v>
      </c>
      <c r="C53" s="22">
        <f>C45/C37</f>
        <v>0.2</v>
      </c>
      <c r="D53" s="22">
        <f t="shared" ref="D53:N53" si="6">D45/D37</f>
        <v>0.6</v>
      </c>
      <c r="E53" s="22">
        <f t="shared" si="6"/>
        <v>0.56666666666666665</v>
      </c>
      <c r="F53" s="22">
        <f t="shared" si="6"/>
        <v>0.35</v>
      </c>
      <c r="G53" s="22">
        <f t="shared" si="6"/>
        <v>0.35</v>
      </c>
      <c r="H53" s="22">
        <f t="shared" si="6"/>
        <v>0.74</v>
      </c>
      <c r="I53" s="22">
        <f t="shared" si="6"/>
        <v>0.33333333333333331</v>
      </c>
      <c r="J53" s="22">
        <f t="shared" si="6"/>
        <v>0.4</v>
      </c>
      <c r="K53" s="22">
        <f t="shared" si="6"/>
        <v>0.47058823529411764</v>
      </c>
      <c r="L53" s="22">
        <f t="shared" si="6"/>
        <v>0.51351351351351349</v>
      </c>
      <c r="M53" s="22">
        <f t="shared" si="6"/>
        <v>0.52631578947368418</v>
      </c>
      <c r="N53" s="22">
        <f t="shared" si="6"/>
        <v>0.9</v>
      </c>
      <c r="O53" s="22">
        <f>AVERAGE(C53:N53)</f>
        <v>0.49586812819010961</v>
      </c>
      <c r="P53"/>
    </row>
    <row r="54" spans="2:16" ht="15" customHeight="1" x14ac:dyDescent="0.25">
      <c r="B54" t="s">
        <v>32</v>
      </c>
      <c r="C54" s="22">
        <f t="shared" ref="C54:N55" si="7">C46/C38</f>
        <v>0</v>
      </c>
      <c r="D54" s="22">
        <f t="shared" si="7"/>
        <v>0.4</v>
      </c>
      <c r="E54" s="22">
        <f t="shared" si="7"/>
        <v>0.4</v>
      </c>
      <c r="F54" s="22">
        <f t="shared" si="7"/>
        <v>0.4</v>
      </c>
      <c r="G54" s="22">
        <f t="shared" si="7"/>
        <v>0.4</v>
      </c>
      <c r="H54" s="22">
        <f t="shared" si="7"/>
        <v>0.64</v>
      </c>
      <c r="I54" s="22">
        <f t="shared" si="7"/>
        <v>0.14285714285714285</v>
      </c>
      <c r="J54" s="22">
        <f t="shared" si="7"/>
        <v>0.14285714285714285</v>
      </c>
      <c r="K54" s="22">
        <f t="shared" si="7"/>
        <v>0.14285714285714285</v>
      </c>
      <c r="L54" s="22">
        <f t="shared" si="7"/>
        <v>0.14285714285714285</v>
      </c>
      <c r="M54" s="22">
        <f t="shared" si="7"/>
        <v>0.14285714285714285</v>
      </c>
      <c r="N54" s="22">
        <f t="shared" si="7"/>
        <v>0.14285714285714285</v>
      </c>
      <c r="O54" s="22">
        <f>AVERAGE(C54:N54)</f>
        <v>0.2580952380952381</v>
      </c>
      <c r="P54"/>
    </row>
    <row r="55" spans="2:16" ht="15" customHeight="1" x14ac:dyDescent="0.25">
      <c r="B55" t="s">
        <v>33</v>
      </c>
      <c r="C55" s="22">
        <f t="shared" si="7"/>
        <v>0.20833333333333334</v>
      </c>
      <c r="D55" s="22">
        <f t="shared" si="7"/>
        <v>0.20833333333333334</v>
      </c>
      <c r="E55" s="22">
        <f t="shared" si="7"/>
        <v>0.20833333333333334</v>
      </c>
      <c r="F55" s="22">
        <f t="shared" si="7"/>
        <v>0.20833333333333334</v>
      </c>
      <c r="G55" s="22">
        <f t="shared" si="7"/>
        <v>0.20833333333333334</v>
      </c>
      <c r="H55" s="22">
        <f t="shared" si="7"/>
        <v>0.5625</v>
      </c>
      <c r="I55" s="22">
        <f t="shared" si="7"/>
        <v>0.5625</v>
      </c>
      <c r="J55" s="22">
        <f t="shared" si="7"/>
        <v>0.5625</v>
      </c>
      <c r="K55" s="22">
        <f t="shared" si="7"/>
        <v>0.5625</v>
      </c>
      <c r="L55" s="22">
        <f t="shared" si="7"/>
        <v>0.5625</v>
      </c>
      <c r="M55" s="22">
        <f t="shared" si="7"/>
        <v>0.5625</v>
      </c>
      <c r="N55" s="22">
        <f t="shared" si="7"/>
        <v>0.5625</v>
      </c>
      <c r="O55" s="22">
        <f>AVERAGE(C55:N55)</f>
        <v>0.41493055555555558</v>
      </c>
      <c r="P55" s="15"/>
    </row>
    <row r="56" spans="2:16" ht="15" customHeight="1" x14ac:dyDescent="0.25">
      <c r="B56" t="s">
        <v>19</v>
      </c>
      <c r="C56" s="23">
        <f>SUBTOTAL(101,Table1014[ENERO])</f>
        <v>0.1361111111111111</v>
      </c>
      <c r="D56" s="23">
        <f>SUBTOTAL(101,Table1014[FEBRERO])</f>
        <v>0.40277777777777773</v>
      </c>
      <c r="E56" s="23">
        <f>SUBTOTAL(101,Table1014[MARZO])</f>
        <v>0.39166666666666666</v>
      </c>
      <c r="F56" s="23">
        <f>SUBTOTAL(101,Table1014[ABRIL])</f>
        <v>0.31944444444444448</v>
      </c>
      <c r="G56" s="23">
        <f>SUBTOTAL(101,Table1014[MAYO])</f>
        <v>0.31944444444444448</v>
      </c>
      <c r="H56" s="23">
        <f>SUBTOTAL(101,Table1014[JUNIO])</f>
        <v>0.64749999999999996</v>
      </c>
      <c r="I56" s="23">
        <f>SUBTOTAL(101,Table1014[JULIO])</f>
        <v>0.34623015873015878</v>
      </c>
      <c r="J56" s="23">
        <f>SUBTOTAL(101,Table1014[AGOSTO])</f>
        <v>0.36845238095238098</v>
      </c>
      <c r="K56" s="23">
        <f>SUBTOTAL(101,Table1014[SEPTIEMBRE])</f>
        <v>0.39198179271708683</v>
      </c>
      <c r="L56" s="23">
        <f>SUBTOTAL(101,Table1014[OCTUBRE])</f>
        <v>0.40629021879021882</v>
      </c>
      <c r="M56" s="23">
        <f>SUBTOTAL(101,Table1014[NOVIEMBRE])</f>
        <v>0.41055764411027568</v>
      </c>
      <c r="N56" s="23">
        <f>SUBTOTAL(101,Table1014[DICIEMBRE])</f>
        <v>0.53511904761904761</v>
      </c>
      <c r="O56" s="23">
        <f>SUBTOTAL(101,Table1014[ANUAL])</f>
        <v>0.3896313072803011</v>
      </c>
      <c r="P56" s="15"/>
    </row>
    <row r="57" spans="2:16" ht="15" customHeight="1" x14ac:dyDescent="0.2"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2:16" ht="15" customHeight="1" x14ac:dyDescent="0.2"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2:16" ht="15" customHeight="1" x14ac:dyDescent="0.2"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2:16" ht="15" customHeight="1" x14ac:dyDescent="0.2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2:16" ht="15" customHeight="1" x14ac:dyDescent="0.2"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2:16" ht="15" customHeight="1" x14ac:dyDescent="0.2"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2:16" ht="15" customHeight="1" x14ac:dyDescent="0.2"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6"/>
    </row>
    <row r="64" spans="2:16" ht="15" customHeight="1" x14ac:dyDescent="0.2"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6"/>
    </row>
    <row r="65" spans="3:16" ht="15" customHeight="1" x14ac:dyDescent="0.2"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6"/>
    </row>
    <row r="66" spans="3:16" ht="15" customHeight="1" x14ac:dyDescent="0.2"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6"/>
    </row>
    <row r="67" spans="3:16" ht="15" customHeight="1" x14ac:dyDescent="0.2"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6"/>
    </row>
    <row r="68" spans="3:16" ht="15" customHeight="1" x14ac:dyDescent="0.2"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</row>
    <row r="69" spans="3:16" ht="15" customHeight="1" x14ac:dyDescent="0.2"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</row>
    <row r="70" spans="3:16" ht="15" customHeight="1" x14ac:dyDescent="0.2"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</row>
    <row r="71" spans="3:16" ht="15" customHeight="1" x14ac:dyDescent="0.2"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</row>
    <row r="72" spans="3:16" ht="15" customHeight="1" x14ac:dyDescent="0.2"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</row>
    <row r="73" spans="3:16" ht="15" customHeight="1" x14ac:dyDescent="0.2"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</row>
    <row r="74" spans="3:16" ht="15" customHeight="1" x14ac:dyDescent="0.2"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</row>
    <row r="75" spans="3:16" ht="15" customHeight="1" x14ac:dyDescent="0.2"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</row>
    <row r="76" spans="3:16" ht="15" customHeight="1" x14ac:dyDescent="0.2"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</row>
    <row r="77" spans="3:16" ht="15" customHeight="1" x14ac:dyDescent="0.2"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</row>
    <row r="78" spans="3:16" ht="15" customHeight="1" x14ac:dyDescent="0.2"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</row>
    <row r="79" spans="3:16" ht="15" customHeight="1" x14ac:dyDescent="0.2"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</row>
    <row r="80" spans="3:16" ht="15" customHeight="1" x14ac:dyDescent="0.2"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</row>
    <row r="81" spans="3:16" ht="15" customHeight="1" x14ac:dyDescent="0.2"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</row>
    <row r="82" spans="3:16" ht="15" customHeight="1" x14ac:dyDescent="0.2"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</row>
    <row r="83" spans="3:16" ht="15" customHeight="1" x14ac:dyDescent="0.2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</row>
    <row r="84" spans="3:16" ht="15" customHeight="1" x14ac:dyDescent="0.2"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</row>
    <row r="85" spans="3:16" ht="15" customHeight="1" x14ac:dyDescent="0.2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</row>
    <row r="86" spans="3:16" ht="15" customHeight="1" x14ac:dyDescent="0.2"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</row>
    <row r="87" spans="3:16" ht="15" customHeight="1" x14ac:dyDescent="0.2"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3:16" ht="15" customHeight="1" x14ac:dyDescent="0.2"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3:16" ht="15" customHeight="1" x14ac:dyDescent="0.2"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3:16" ht="15" customHeight="1" x14ac:dyDescent="0.2"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</row>
    <row r="91" spans="3:16" ht="15" customHeight="1" x14ac:dyDescent="0.2"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</row>
    <row r="92" spans="3:16" ht="15" customHeight="1" x14ac:dyDescent="0.2"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3:16" ht="15" customHeight="1" x14ac:dyDescent="0.2"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3:16" ht="15" customHeight="1" x14ac:dyDescent="0.2"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3:16" ht="15" customHeight="1" x14ac:dyDescent="0.2"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3:16" ht="15" customHeight="1" x14ac:dyDescent="0.2"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3:16" ht="15" customHeight="1" x14ac:dyDescent="0.2"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3:16" ht="15" customHeight="1" x14ac:dyDescent="0.2"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3:16" ht="15" customHeight="1" x14ac:dyDescent="0.2"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3:16" ht="15" customHeight="1" x14ac:dyDescent="0.2"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3:16" ht="15" customHeight="1" x14ac:dyDescent="0.2"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3:16" ht="15" customHeight="1" x14ac:dyDescent="0.2"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3:16" ht="15" customHeight="1" x14ac:dyDescent="0.2"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3:16" ht="15" customHeight="1" x14ac:dyDescent="0.2"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3:16" ht="15" customHeight="1" x14ac:dyDescent="0.2"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3:16" ht="15" customHeight="1" x14ac:dyDescent="0.2"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</row>
    <row r="107" spans="3:16" ht="15" customHeight="1" x14ac:dyDescent="0.2"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</row>
    <row r="108" spans="3:16" ht="15" customHeight="1" x14ac:dyDescent="0.2"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</row>
    <row r="109" spans="3:16" ht="15" customHeight="1" x14ac:dyDescent="0.2"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</row>
    <row r="110" spans="3:16" ht="15" customHeight="1" x14ac:dyDescent="0.2"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</row>
    <row r="111" spans="3:16" ht="15" customHeight="1" x14ac:dyDescent="0.2"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</row>
    <row r="112" spans="3:16" ht="15" customHeight="1" x14ac:dyDescent="0.2"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</row>
    <row r="113" spans="3:16" ht="15" customHeight="1" x14ac:dyDescent="0.2"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</row>
    <row r="114" spans="3:16" ht="15" customHeight="1" x14ac:dyDescent="0.2"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</row>
    <row r="115" spans="3:16" ht="15" customHeight="1" x14ac:dyDescent="0.2"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</row>
    <row r="116" spans="3:16" ht="15" customHeight="1" x14ac:dyDescent="0.2"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</row>
    <row r="117" spans="3:16" ht="15" customHeight="1" x14ac:dyDescent="0.2"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</row>
    <row r="118" spans="3:16" ht="15" customHeight="1" x14ac:dyDescent="0.2"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</row>
    <row r="119" spans="3:16" ht="15" customHeight="1" x14ac:dyDescent="0.2"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</row>
    <row r="120" spans="3:16" ht="15" customHeight="1" x14ac:dyDescent="0.2"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</row>
    <row r="121" spans="3:16" ht="15" customHeight="1" x14ac:dyDescent="0.2"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</row>
    <row r="122" spans="3:16" ht="15" customHeight="1" x14ac:dyDescent="0.2"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</row>
    <row r="123" spans="3:16" ht="15" customHeight="1" x14ac:dyDescent="0.2"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</row>
    <row r="124" spans="3:16" ht="15" customHeight="1" x14ac:dyDescent="0.2"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</row>
    <row r="125" spans="3:16" ht="15" customHeight="1" x14ac:dyDescent="0.2"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</row>
    <row r="126" spans="3:16" ht="15" customHeight="1" x14ac:dyDescent="0.2"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</row>
    <row r="127" spans="3:16" ht="15" customHeight="1" x14ac:dyDescent="0.2"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</row>
    <row r="128" spans="3:16" ht="15" customHeight="1" x14ac:dyDescent="0.2"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</row>
    <row r="129" spans="3:16" ht="15" customHeight="1" x14ac:dyDescent="0.2"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</row>
    <row r="130" spans="3:16" ht="15" customHeight="1" x14ac:dyDescent="0.2"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</row>
    <row r="131" spans="3:16" ht="15" customHeight="1" x14ac:dyDescent="0.2"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</row>
    <row r="132" spans="3:16" ht="15" customHeight="1" x14ac:dyDescent="0.2"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</row>
    <row r="133" spans="3:16" ht="15" customHeight="1" x14ac:dyDescent="0.2"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5"/>
    </row>
    <row r="134" spans="3:16" ht="15" customHeight="1" x14ac:dyDescent="0.2"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5"/>
    </row>
    <row r="135" spans="3:16" ht="15" customHeight="1" x14ac:dyDescent="0.2"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5"/>
    </row>
    <row r="136" spans="3:16" ht="15" customHeight="1" x14ac:dyDescent="0.2"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5"/>
    </row>
    <row r="137" spans="3:16" ht="15" customHeight="1" x14ac:dyDescent="0.2"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5"/>
    </row>
    <row r="138" spans="3:16" ht="15" customHeight="1" x14ac:dyDescent="0.2"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</row>
    <row r="139" spans="3:16" ht="15" customHeight="1" x14ac:dyDescent="0.2"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</row>
    <row r="140" spans="3:16" ht="15" customHeight="1" x14ac:dyDescent="0.2"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</row>
    <row r="141" spans="3:16" ht="15" customHeight="1" x14ac:dyDescent="0.2"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</row>
    <row r="142" spans="3:16" ht="15" customHeight="1" x14ac:dyDescent="0.2"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</row>
    <row r="143" spans="3:16" ht="15" customHeight="1" x14ac:dyDescent="0.2"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</row>
    <row r="144" spans="3:16" ht="15" customHeight="1" x14ac:dyDescent="0.2"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</row>
    <row r="145" spans="3:16" ht="15" customHeight="1" x14ac:dyDescent="0.2"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</row>
    <row r="146" spans="3:16" ht="15" customHeight="1" x14ac:dyDescent="0.2"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</row>
    <row r="147" spans="3:16" ht="15" customHeight="1" x14ac:dyDescent="0.2"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</row>
    <row r="148" spans="3:16" ht="15" customHeight="1" x14ac:dyDescent="0.2"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</row>
    <row r="149" spans="3:16" ht="15" customHeight="1" x14ac:dyDescent="0.2"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</row>
    <row r="150" spans="3:16" ht="15" customHeight="1" x14ac:dyDescent="0.2"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</row>
    <row r="151" spans="3:16" ht="15" customHeight="1" x14ac:dyDescent="0.2"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</row>
    <row r="152" spans="3:16" ht="15" customHeight="1" x14ac:dyDescent="0.2"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</row>
    <row r="153" spans="3:16" ht="15" customHeight="1" x14ac:dyDescent="0.2"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</row>
    <row r="154" spans="3:16" ht="15" customHeight="1" x14ac:dyDescent="0.2"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</row>
    <row r="155" spans="3:16" ht="15" customHeight="1" x14ac:dyDescent="0.2"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</row>
    <row r="156" spans="3:16" ht="15" customHeight="1" x14ac:dyDescent="0.2"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</row>
    <row r="157" spans="3:16" ht="15" customHeight="1" x14ac:dyDescent="0.2"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</row>
    <row r="158" spans="3:16" ht="15" customHeight="1" x14ac:dyDescent="0.2"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</row>
    <row r="159" spans="3:16" ht="15" customHeight="1" x14ac:dyDescent="0.2"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</row>
    <row r="160" spans="3:16" ht="15" customHeight="1" x14ac:dyDescent="0.2"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</row>
    <row r="161" spans="3:16" ht="15" customHeight="1" x14ac:dyDescent="0.2"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</row>
    <row r="162" spans="3:16" ht="15" customHeight="1" x14ac:dyDescent="0.2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</row>
    <row r="163" spans="3:16" ht="15" customHeight="1" x14ac:dyDescent="0.2"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</row>
    <row r="164" spans="3:16" ht="15" customHeight="1" x14ac:dyDescent="0.2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</row>
    <row r="165" spans="3:16" ht="15" customHeight="1" x14ac:dyDescent="0.2"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</row>
    <row r="166" spans="3:16" ht="15" customHeight="1" x14ac:dyDescent="0.2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</row>
    <row r="167" spans="3:16" ht="15" customHeight="1" x14ac:dyDescent="0.2"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</row>
    <row r="168" spans="3:16" ht="15" customHeight="1" x14ac:dyDescent="0.2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</row>
    <row r="169" spans="3:16" ht="15" customHeight="1" x14ac:dyDescent="0.2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</row>
    <row r="170" spans="3:16" ht="15" customHeight="1" x14ac:dyDescent="0.2"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</row>
    <row r="171" spans="3:16" ht="15" customHeight="1" x14ac:dyDescent="0.2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</row>
    <row r="172" spans="3:16" ht="15" customHeight="1" x14ac:dyDescent="0.2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</row>
    <row r="173" spans="3:16" ht="15" customHeight="1" x14ac:dyDescent="0.2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</row>
    <row r="174" spans="3:16" ht="15" customHeight="1" x14ac:dyDescent="0.2"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</row>
    <row r="175" spans="3:16" ht="15" customHeight="1" x14ac:dyDescent="0.2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</row>
    <row r="176" spans="3:16" ht="15" customHeight="1" x14ac:dyDescent="0.2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</row>
    <row r="177" spans="3:16" ht="15" customHeight="1" x14ac:dyDescent="0.2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</row>
    <row r="178" spans="3:16" ht="15" customHeight="1" x14ac:dyDescent="0.2"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</row>
    <row r="179" spans="3:16" ht="15" customHeight="1" x14ac:dyDescent="0.2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</row>
    <row r="180" spans="3:16" ht="15" customHeight="1" x14ac:dyDescent="0.2"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</row>
    <row r="181" spans="3:16" ht="15" customHeight="1" x14ac:dyDescent="0.2"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</row>
    <row r="182" spans="3:16" ht="15" customHeight="1" x14ac:dyDescent="0.2"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</row>
    <row r="183" spans="3:16" ht="15" customHeight="1" x14ac:dyDescent="0.2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</row>
    <row r="184" spans="3:16" ht="15" customHeight="1" x14ac:dyDescent="0.2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</row>
    <row r="185" spans="3:16" ht="15" customHeight="1" x14ac:dyDescent="0.2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</row>
    <row r="186" spans="3:16" ht="15" customHeight="1" x14ac:dyDescent="0.2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</row>
    <row r="187" spans="3:16" ht="15" customHeight="1" x14ac:dyDescent="0.2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</row>
    <row r="188" spans="3:16" ht="15" customHeight="1" x14ac:dyDescent="0.2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</row>
    <row r="189" spans="3:16" ht="15" customHeight="1" x14ac:dyDescent="0.2"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</row>
    <row r="190" spans="3:16" ht="15" customHeight="1" x14ac:dyDescent="0.2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</row>
    <row r="191" spans="3:16" ht="15" customHeight="1" x14ac:dyDescent="0.2"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</row>
    <row r="192" spans="3:16" ht="15" customHeight="1" x14ac:dyDescent="0.2"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</row>
    <row r="193" spans="3:16" ht="15" customHeight="1" x14ac:dyDescent="0.2"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</row>
    <row r="194" spans="3:16" ht="15" customHeight="1" x14ac:dyDescent="0.2"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</row>
    <row r="195" spans="3:16" ht="15" customHeight="1" x14ac:dyDescent="0.2"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</row>
    <row r="196" spans="3:16" ht="15" customHeight="1" x14ac:dyDescent="0.2"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</row>
    <row r="197" spans="3:16" ht="15" customHeight="1" x14ac:dyDescent="0.2"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</row>
    <row r="198" spans="3:16" ht="15" customHeight="1" x14ac:dyDescent="0.2"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</row>
    <row r="199" spans="3:16" ht="15" customHeight="1" x14ac:dyDescent="0.2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</row>
    <row r="200" spans="3:16" ht="15" customHeight="1" x14ac:dyDescent="0.2"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</row>
    <row r="201" spans="3:16" ht="15" customHeight="1" x14ac:dyDescent="0.2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</row>
    <row r="202" spans="3:16" ht="15" customHeight="1" x14ac:dyDescent="0.2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</row>
    <row r="203" spans="3:16" ht="15" customHeight="1" x14ac:dyDescent="0.2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</row>
    <row r="204" spans="3:16" ht="15" customHeight="1" x14ac:dyDescent="0.2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</row>
    <row r="205" spans="3:16" ht="15" customHeight="1" x14ac:dyDescent="0.2"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</row>
    <row r="206" spans="3:16" ht="15" customHeight="1" x14ac:dyDescent="0.2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</row>
    <row r="207" spans="3:16" ht="15" customHeight="1" x14ac:dyDescent="0.2"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</row>
    <row r="208" spans="3:16" ht="15" customHeight="1" x14ac:dyDescent="0.2"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</row>
    <row r="209" spans="3:16" ht="15" customHeight="1" x14ac:dyDescent="0.2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</row>
    <row r="210" spans="3:16" ht="15" customHeight="1" x14ac:dyDescent="0.2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</row>
    <row r="211" spans="3:16" ht="15" customHeight="1" x14ac:dyDescent="0.2"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</row>
    <row r="212" spans="3:16" ht="15" customHeight="1" x14ac:dyDescent="0.2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</row>
    <row r="213" spans="3:16" ht="15" customHeight="1" x14ac:dyDescent="0.2"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</row>
    <row r="214" spans="3:16" ht="15" customHeight="1" x14ac:dyDescent="0.2"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</row>
    <row r="215" spans="3:16" ht="15" customHeight="1" x14ac:dyDescent="0.2"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</row>
    <row r="216" spans="3:16" ht="15" customHeight="1" x14ac:dyDescent="0.2"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</row>
    <row r="217" spans="3:16" ht="15" customHeight="1" x14ac:dyDescent="0.2"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</row>
    <row r="218" spans="3:16" ht="15" customHeight="1" x14ac:dyDescent="0.2"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</row>
    <row r="219" spans="3:16" ht="15" customHeight="1" x14ac:dyDescent="0.2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</row>
    <row r="220" spans="3:16" ht="15" customHeight="1" x14ac:dyDescent="0.2"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</row>
    <row r="221" spans="3:16" ht="15" customHeight="1" x14ac:dyDescent="0.2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</row>
    <row r="222" spans="3:16" ht="15" customHeight="1" x14ac:dyDescent="0.2"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</row>
    <row r="223" spans="3:16" ht="15" customHeight="1" x14ac:dyDescent="0.2"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</row>
    <row r="224" spans="3:16" ht="15" customHeight="1" x14ac:dyDescent="0.2"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</row>
    <row r="225" spans="3:16" ht="15" customHeight="1" x14ac:dyDescent="0.2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</row>
    <row r="226" spans="3:16" ht="15" customHeight="1" x14ac:dyDescent="0.2"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</row>
    <row r="227" spans="3:16" ht="15" customHeight="1" x14ac:dyDescent="0.2"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</row>
    <row r="228" spans="3:16" ht="15" customHeight="1" x14ac:dyDescent="0.2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</row>
    <row r="229" spans="3:16" ht="15" customHeight="1" x14ac:dyDescent="0.2"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</row>
    <row r="230" spans="3:16" ht="15" customHeight="1" x14ac:dyDescent="0.2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</row>
    <row r="231" spans="3:16" ht="15" customHeight="1" x14ac:dyDescent="0.2"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</row>
    <row r="232" spans="3:16" ht="15" customHeight="1" x14ac:dyDescent="0.2"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</row>
    <row r="233" spans="3:16" ht="15" customHeight="1" x14ac:dyDescent="0.2"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</row>
    <row r="234" spans="3:16" ht="15" customHeight="1" x14ac:dyDescent="0.2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</row>
    <row r="235" spans="3:16" ht="15" customHeight="1" x14ac:dyDescent="0.2"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</row>
    <row r="236" spans="3:16" ht="15" customHeight="1" x14ac:dyDescent="0.2"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</row>
    <row r="237" spans="3:16" ht="15" customHeight="1" x14ac:dyDescent="0.2"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</row>
    <row r="238" spans="3:16" ht="15" customHeight="1" x14ac:dyDescent="0.2"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</row>
    <row r="239" spans="3:16" ht="15" customHeight="1" x14ac:dyDescent="0.2"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</row>
    <row r="240" spans="3:16" ht="15" customHeight="1" x14ac:dyDescent="0.2"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</row>
    <row r="241" spans="3:16" ht="15" customHeight="1" x14ac:dyDescent="0.2"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</row>
    <row r="242" spans="3:16" ht="15" customHeight="1" x14ac:dyDescent="0.2"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</row>
    <row r="243" spans="3:16" ht="15" customHeight="1" x14ac:dyDescent="0.2"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</row>
    <row r="244" spans="3:16" ht="15" customHeight="1" x14ac:dyDescent="0.2"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</row>
    <row r="245" spans="3:16" ht="15" customHeight="1" x14ac:dyDescent="0.2"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3:16" ht="15" customHeight="1" x14ac:dyDescent="0.2"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3:16" ht="15" customHeight="1" x14ac:dyDescent="0.2"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3:16" ht="15" customHeight="1" x14ac:dyDescent="0.2"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3:16" ht="15" customHeight="1" x14ac:dyDescent="0.2"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3:16" ht="15" customHeight="1" x14ac:dyDescent="0.2"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3:16" ht="15" customHeight="1" x14ac:dyDescent="0.2"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3:16" ht="15" customHeight="1" x14ac:dyDescent="0.2"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3:16" ht="15" customHeight="1" x14ac:dyDescent="0.2"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3:16" ht="15" customHeight="1" x14ac:dyDescent="0.2"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3:16" ht="15" customHeight="1" x14ac:dyDescent="0.2"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3:16" ht="15" customHeight="1" x14ac:dyDescent="0.2"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</row>
    <row r="257" spans="3:16" ht="15" customHeight="1" x14ac:dyDescent="0.2"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</row>
    <row r="258" spans="3:16" ht="15" customHeight="1" x14ac:dyDescent="0.2"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</row>
    <row r="259" spans="3:16" ht="15" customHeight="1" x14ac:dyDescent="0.2"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</row>
    <row r="260" spans="3:16" ht="15" customHeight="1" x14ac:dyDescent="0.2"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</row>
    <row r="261" spans="3:16" ht="15" customHeight="1" x14ac:dyDescent="0.2"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</row>
    <row r="262" spans="3:16" ht="15" customHeight="1" x14ac:dyDescent="0.2"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</row>
    <row r="263" spans="3:16" ht="15" customHeight="1" x14ac:dyDescent="0.2"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</row>
    <row r="264" spans="3:16" ht="15" customHeight="1" x14ac:dyDescent="0.2"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</row>
    <row r="265" spans="3:16" ht="15" customHeight="1" x14ac:dyDescent="0.2"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</row>
    <row r="266" spans="3:16" ht="15" customHeight="1" x14ac:dyDescent="0.2"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</row>
    <row r="267" spans="3:16" ht="15" customHeight="1" x14ac:dyDescent="0.2"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</row>
    <row r="268" spans="3:16" ht="15" customHeight="1" x14ac:dyDescent="0.2"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</row>
    <row r="269" spans="3:16" ht="15" customHeight="1" x14ac:dyDescent="0.2"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</row>
    <row r="270" spans="3:16" ht="15" customHeight="1" x14ac:dyDescent="0.2"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</row>
    <row r="271" spans="3:16" ht="15" customHeight="1" x14ac:dyDescent="0.2"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</row>
    <row r="272" spans="3:16" ht="15" customHeight="1" x14ac:dyDescent="0.2"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</row>
    <row r="273" spans="3:16" ht="15" customHeight="1" x14ac:dyDescent="0.2"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</row>
    <row r="274" spans="3:16" ht="15" customHeight="1" x14ac:dyDescent="0.2"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</row>
    <row r="275" spans="3:16" ht="15" customHeight="1" x14ac:dyDescent="0.2"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</row>
    <row r="276" spans="3:16" ht="15" customHeight="1" x14ac:dyDescent="0.2"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</row>
    <row r="277" spans="3:16" ht="15" customHeight="1" x14ac:dyDescent="0.2"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</row>
    <row r="278" spans="3:16" ht="15" customHeight="1" x14ac:dyDescent="0.2"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</row>
    <row r="279" spans="3:16" ht="15" customHeight="1" x14ac:dyDescent="0.2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</row>
    <row r="280" spans="3:16" ht="15" customHeight="1" x14ac:dyDescent="0.2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</row>
    <row r="281" spans="3:16" ht="15" customHeight="1" x14ac:dyDescent="0.2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</row>
    <row r="282" spans="3:16" ht="15" customHeight="1" x14ac:dyDescent="0.2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</row>
    <row r="283" spans="3:16" ht="15" customHeight="1" x14ac:dyDescent="0.2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</row>
    <row r="284" spans="3:16" ht="15" customHeight="1" x14ac:dyDescent="0.2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</row>
    <row r="285" spans="3:16" ht="15" customHeight="1" x14ac:dyDescent="0.2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</row>
    <row r="286" spans="3:16" ht="15" customHeight="1" x14ac:dyDescent="0.2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</row>
    <row r="287" spans="3:16" ht="15" customHeight="1" x14ac:dyDescent="0.2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</row>
    <row r="288" spans="3:16" ht="15" customHeight="1" x14ac:dyDescent="0.2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</row>
    <row r="289" spans="3:16" ht="15" customHeight="1" x14ac:dyDescent="0.2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</row>
    <row r="290" spans="3:16" ht="15" customHeight="1" x14ac:dyDescent="0.2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</row>
    <row r="291" spans="3:16" ht="15" customHeight="1" x14ac:dyDescent="0.2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</row>
    <row r="292" spans="3:16" ht="15" customHeight="1" x14ac:dyDescent="0.2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</row>
    <row r="293" spans="3:16" ht="15" customHeight="1" x14ac:dyDescent="0.2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</row>
    <row r="294" spans="3:16" ht="15" customHeight="1" x14ac:dyDescent="0.2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</row>
    <row r="295" spans="3:16" ht="15" customHeight="1" x14ac:dyDescent="0.2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</row>
    <row r="296" spans="3:16" ht="15" customHeight="1" x14ac:dyDescent="0.2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</row>
    <row r="297" spans="3:16" ht="15" customHeight="1" x14ac:dyDescent="0.2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</row>
    <row r="298" spans="3:16" ht="15" customHeight="1" x14ac:dyDescent="0.2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</row>
    <row r="299" spans="3:16" ht="15" customHeight="1" x14ac:dyDescent="0.2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</row>
    <row r="300" spans="3:16" ht="15" customHeight="1" x14ac:dyDescent="0.2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</row>
    <row r="301" spans="3:16" ht="15" customHeight="1" x14ac:dyDescent="0.2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</row>
    <row r="302" spans="3:16" ht="15" customHeight="1" x14ac:dyDescent="0.2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</row>
    <row r="303" spans="3:16" ht="15" customHeight="1" x14ac:dyDescent="0.2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</row>
    <row r="304" spans="3:16" ht="15" customHeight="1" x14ac:dyDescent="0.2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</row>
    <row r="305" spans="3:16" ht="15" customHeight="1" x14ac:dyDescent="0.2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</row>
    <row r="306" spans="3:16" ht="15" customHeight="1" x14ac:dyDescent="0.2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</row>
    <row r="307" spans="3:16" ht="15" customHeight="1" x14ac:dyDescent="0.2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</row>
    <row r="308" spans="3:16" ht="15" customHeight="1" x14ac:dyDescent="0.2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</row>
    <row r="309" spans="3:16" ht="15" customHeight="1" x14ac:dyDescent="0.2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</row>
    <row r="310" spans="3:16" ht="15" customHeight="1" x14ac:dyDescent="0.2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</row>
    <row r="311" spans="3:16" ht="15" customHeight="1" x14ac:dyDescent="0.2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</row>
    <row r="312" spans="3:16" ht="15" customHeight="1" x14ac:dyDescent="0.2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</row>
    <row r="313" spans="3:16" ht="15" customHeight="1" x14ac:dyDescent="0.2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</row>
    <row r="314" spans="3:16" ht="15" customHeight="1" x14ac:dyDescent="0.2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</row>
    <row r="315" spans="3:16" ht="15" customHeight="1" x14ac:dyDescent="0.2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</row>
    <row r="316" spans="3:16" ht="15" customHeight="1" x14ac:dyDescent="0.2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</row>
    <row r="317" spans="3:16" ht="15" customHeight="1" x14ac:dyDescent="0.2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</row>
    <row r="318" spans="3:16" ht="15" customHeight="1" x14ac:dyDescent="0.2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</row>
    <row r="319" spans="3:16" ht="15" customHeight="1" x14ac:dyDescent="0.2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</row>
    <row r="320" spans="3:16" ht="15" customHeight="1" x14ac:dyDescent="0.2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</row>
    <row r="321" spans="3:16" ht="15" customHeight="1" x14ac:dyDescent="0.2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</row>
    <row r="322" spans="3:16" ht="15" customHeight="1" x14ac:dyDescent="0.2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</row>
    <row r="323" spans="3:16" ht="15" customHeight="1" x14ac:dyDescent="0.2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</row>
    <row r="324" spans="3:16" ht="15" customHeight="1" x14ac:dyDescent="0.2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</row>
    <row r="325" spans="3:16" ht="15" customHeight="1" x14ac:dyDescent="0.2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</row>
    <row r="326" spans="3:16" ht="15" customHeight="1" x14ac:dyDescent="0.2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</row>
    <row r="327" spans="3:16" ht="15" customHeight="1" x14ac:dyDescent="0.2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</row>
    <row r="328" spans="3:16" ht="15" customHeight="1" x14ac:dyDescent="0.2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</row>
    <row r="329" spans="3:16" ht="15" customHeight="1" x14ac:dyDescent="0.2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</row>
    <row r="330" spans="3:16" ht="15" customHeight="1" x14ac:dyDescent="0.2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</row>
    <row r="331" spans="3:16" ht="15" customHeight="1" x14ac:dyDescent="0.2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</row>
    <row r="332" spans="3:16" ht="15" customHeight="1" x14ac:dyDescent="0.2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</row>
    <row r="333" spans="3:16" ht="15" customHeight="1" x14ac:dyDescent="0.2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</row>
    <row r="334" spans="3:16" ht="15" customHeight="1" x14ac:dyDescent="0.2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</row>
    <row r="335" spans="3:16" ht="15" customHeight="1" x14ac:dyDescent="0.2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</row>
    <row r="336" spans="3:16" ht="15" customHeight="1" x14ac:dyDescent="0.2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</row>
    <row r="337" spans="3:16" ht="15" customHeight="1" x14ac:dyDescent="0.2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</row>
    <row r="338" spans="3:16" ht="15" customHeight="1" x14ac:dyDescent="0.2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</row>
    <row r="339" spans="3:16" ht="15" customHeight="1" x14ac:dyDescent="0.2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</row>
    <row r="340" spans="3:16" ht="15" customHeight="1" x14ac:dyDescent="0.2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</row>
    <row r="341" spans="3:16" ht="15" customHeight="1" x14ac:dyDescent="0.2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</row>
    <row r="342" spans="3:16" ht="15" customHeight="1" x14ac:dyDescent="0.2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</row>
    <row r="343" spans="3:16" ht="15" customHeight="1" x14ac:dyDescent="0.2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</row>
    <row r="344" spans="3:16" ht="15" customHeight="1" x14ac:dyDescent="0.2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</row>
    <row r="345" spans="3:16" ht="15" customHeight="1" x14ac:dyDescent="0.2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</row>
    <row r="346" spans="3:16" ht="15" customHeight="1" x14ac:dyDescent="0.2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</row>
    <row r="347" spans="3:16" ht="15" customHeight="1" x14ac:dyDescent="0.2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</row>
    <row r="348" spans="3:16" ht="15" customHeight="1" x14ac:dyDescent="0.2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</row>
    <row r="349" spans="3:16" ht="15" customHeight="1" x14ac:dyDescent="0.2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</row>
    <row r="350" spans="3:16" ht="15" customHeight="1" x14ac:dyDescent="0.2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</row>
    <row r="351" spans="3:16" ht="15" customHeight="1" x14ac:dyDescent="0.2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</row>
    <row r="352" spans="3:16" ht="15" customHeight="1" x14ac:dyDescent="0.2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</row>
    <row r="353" spans="3:16" ht="15" customHeight="1" x14ac:dyDescent="0.2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</row>
    <row r="354" spans="3:16" ht="15" customHeight="1" x14ac:dyDescent="0.2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</row>
    <row r="355" spans="3:16" ht="15" customHeight="1" x14ac:dyDescent="0.2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</row>
    <row r="356" spans="3:16" ht="15" customHeight="1" x14ac:dyDescent="0.2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</row>
    <row r="357" spans="3:16" ht="15" customHeight="1" x14ac:dyDescent="0.2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</row>
    <row r="358" spans="3:16" ht="15" customHeight="1" x14ac:dyDescent="0.2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</row>
    <row r="359" spans="3:16" ht="15" customHeight="1" x14ac:dyDescent="0.2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</row>
    <row r="360" spans="3:16" ht="15" customHeight="1" x14ac:dyDescent="0.2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</row>
    <row r="361" spans="3:16" ht="15" customHeight="1" x14ac:dyDescent="0.2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</row>
    <row r="362" spans="3:16" ht="15" customHeight="1" x14ac:dyDescent="0.2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</row>
    <row r="363" spans="3:16" ht="15" customHeight="1" x14ac:dyDescent="0.2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</row>
    <row r="364" spans="3:16" ht="15" customHeight="1" x14ac:dyDescent="0.2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</row>
    <row r="365" spans="3:16" ht="15" customHeight="1" x14ac:dyDescent="0.2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</row>
    <row r="366" spans="3:16" ht="15" customHeight="1" x14ac:dyDescent="0.2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</row>
    <row r="367" spans="3:16" ht="15" customHeight="1" x14ac:dyDescent="0.2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</row>
    <row r="368" spans="3:16" ht="15" customHeight="1" x14ac:dyDescent="0.2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</row>
    <row r="369" spans="3:16" ht="15" customHeight="1" x14ac:dyDescent="0.2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</row>
    <row r="370" spans="3:16" ht="15" customHeight="1" x14ac:dyDescent="0.2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</row>
    <row r="371" spans="3:16" ht="15" customHeight="1" x14ac:dyDescent="0.2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</row>
    <row r="372" spans="3:16" ht="15" customHeight="1" x14ac:dyDescent="0.2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</row>
    <row r="373" spans="3:16" ht="15" customHeight="1" x14ac:dyDescent="0.2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</row>
    <row r="374" spans="3:16" ht="15" customHeight="1" x14ac:dyDescent="0.2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</row>
    <row r="375" spans="3:16" ht="15" customHeight="1" x14ac:dyDescent="0.2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</row>
    <row r="376" spans="3:16" ht="15" customHeight="1" x14ac:dyDescent="0.2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</row>
    <row r="377" spans="3:16" ht="15" customHeight="1" x14ac:dyDescent="0.2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</row>
    <row r="378" spans="3:16" ht="15" customHeight="1" x14ac:dyDescent="0.2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</row>
    <row r="379" spans="3:16" ht="15" customHeight="1" x14ac:dyDescent="0.2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</row>
    <row r="380" spans="3:16" ht="15" customHeight="1" x14ac:dyDescent="0.2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</row>
    <row r="381" spans="3:16" ht="15" customHeight="1" x14ac:dyDescent="0.2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</row>
    <row r="382" spans="3:16" ht="15" customHeight="1" x14ac:dyDescent="0.2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</row>
    <row r="383" spans="3:16" ht="15" customHeight="1" x14ac:dyDescent="0.2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</row>
    <row r="384" spans="3:16" ht="15" customHeight="1" x14ac:dyDescent="0.2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</row>
    <row r="385" spans="3:16" ht="15" customHeight="1" x14ac:dyDescent="0.2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</row>
    <row r="386" spans="3:16" ht="15" customHeight="1" x14ac:dyDescent="0.2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</row>
    <row r="387" spans="3:16" ht="15" customHeight="1" x14ac:dyDescent="0.2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</row>
    <row r="388" spans="3:16" ht="15" customHeight="1" x14ac:dyDescent="0.2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</row>
    <row r="389" spans="3:16" ht="15" customHeight="1" x14ac:dyDescent="0.2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</row>
    <row r="390" spans="3:16" ht="15" customHeight="1" x14ac:dyDescent="0.2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</row>
    <row r="391" spans="3:16" ht="15" customHeight="1" x14ac:dyDescent="0.2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</row>
    <row r="392" spans="3:16" ht="15" customHeight="1" x14ac:dyDescent="0.2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</row>
    <row r="393" spans="3:16" ht="15" customHeight="1" x14ac:dyDescent="0.2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</row>
    <row r="394" spans="3:16" ht="15" customHeight="1" x14ac:dyDescent="0.2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</row>
    <row r="395" spans="3:16" ht="15" customHeight="1" x14ac:dyDescent="0.2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</row>
    <row r="396" spans="3:16" ht="15" customHeight="1" x14ac:dyDescent="0.2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</row>
    <row r="397" spans="3:16" ht="15" customHeight="1" x14ac:dyDescent="0.2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</row>
    <row r="398" spans="3:16" ht="15" customHeight="1" x14ac:dyDescent="0.2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</row>
    <row r="399" spans="3:16" ht="15" customHeight="1" x14ac:dyDescent="0.2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</row>
    <row r="400" spans="3:16" ht="15" customHeight="1" x14ac:dyDescent="0.2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</row>
    <row r="401" spans="3:16" ht="15" customHeight="1" x14ac:dyDescent="0.2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</row>
    <row r="402" spans="3:16" ht="15" customHeight="1" x14ac:dyDescent="0.2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</row>
    <row r="403" spans="3:16" ht="15" customHeight="1" x14ac:dyDescent="0.2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</row>
    <row r="404" spans="3:16" ht="15" customHeight="1" x14ac:dyDescent="0.2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</row>
    <row r="405" spans="3:16" ht="15" customHeight="1" x14ac:dyDescent="0.2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</row>
    <row r="406" spans="3:16" ht="15" customHeight="1" x14ac:dyDescent="0.2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</row>
    <row r="407" spans="3:16" ht="15" customHeight="1" x14ac:dyDescent="0.2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</row>
    <row r="408" spans="3:16" ht="15" customHeight="1" x14ac:dyDescent="0.2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</row>
    <row r="409" spans="3:16" ht="15" customHeight="1" x14ac:dyDescent="0.2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</row>
    <row r="410" spans="3:16" ht="15" customHeight="1" x14ac:dyDescent="0.2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</row>
    <row r="411" spans="3:16" ht="15" customHeight="1" x14ac:dyDescent="0.2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</row>
    <row r="412" spans="3:16" ht="15" customHeight="1" x14ac:dyDescent="0.2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</row>
    <row r="413" spans="3:16" ht="15" customHeight="1" x14ac:dyDescent="0.2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</row>
    <row r="414" spans="3:16" ht="15" customHeight="1" x14ac:dyDescent="0.2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</row>
    <row r="415" spans="3:16" ht="15" customHeight="1" x14ac:dyDescent="0.2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</row>
    <row r="416" spans="3:16" ht="15" customHeight="1" x14ac:dyDescent="0.2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</row>
    <row r="417" spans="3:16" ht="15" customHeight="1" x14ac:dyDescent="0.2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</row>
    <row r="418" spans="3:16" ht="15" customHeight="1" x14ac:dyDescent="0.2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</row>
    <row r="419" spans="3:16" ht="15" customHeight="1" x14ac:dyDescent="0.2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</row>
    <row r="420" spans="3:16" ht="15" customHeight="1" x14ac:dyDescent="0.2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</row>
    <row r="421" spans="3:16" ht="15" customHeight="1" x14ac:dyDescent="0.2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</row>
    <row r="422" spans="3:16" ht="15" customHeight="1" x14ac:dyDescent="0.2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</row>
    <row r="423" spans="3:16" ht="15" customHeight="1" x14ac:dyDescent="0.2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</row>
    <row r="424" spans="3:16" ht="15" customHeight="1" x14ac:dyDescent="0.2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</row>
    <row r="425" spans="3:16" ht="15" customHeight="1" x14ac:dyDescent="0.2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</row>
    <row r="426" spans="3:16" ht="15" customHeight="1" x14ac:dyDescent="0.2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</row>
    <row r="427" spans="3:16" ht="15" customHeight="1" x14ac:dyDescent="0.2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</row>
    <row r="428" spans="3:16" ht="15" customHeight="1" x14ac:dyDescent="0.2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</row>
    <row r="429" spans="3:16" ht="15" customHeight="1" x14ac:dyDescent="0.2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</row>
    <row r="430" spans="3:16" ht="15" customHeight="1" x14ac:dyDescent="0.2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</row>
    <row r="431" spans="3:16" ht="15" customHeight="1" x14ac:dyDescent="0.2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</row>
    <row r="432" spans="3:16" ht="15" customHeight="1" x14ac:dyDescent="0.2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</row>
    <row r="433" spans="3:16" ht="15" customHeight="1" x14ac:dyDescent="0.2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</row>
    <row r="434" spans="3:16" ht="15" customHeight="1" x14ac:dyDescent="0.2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</row>
    <row r="435" spans="3:16" ht="15" customHeight="1" x14ac:dyDescent="0.2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</row>
    <row r="436" spans="3:16" ht="15" customHeight="1" x14ac:dyDescent="0.2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</row>
    <row r="437" spans="3:16" ht="15" customHeight="1" x14ac:dyDescent="0.2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</row>
    <row r="438" spans="3:16" ht="15" customHeight="1" x14ac:dyDescent="0.2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</row>
    <row r="439" spans="3:16" ht="15" customHeight="1" x14ac:dyDescent="0.2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</row>
    <row r="440" spans="3:16" ht="15" customHeight="1" x14ac:dyDescent="0.2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</row>
    <row r="441" spans="3:16" ht="15" customHeight="1" x14ac:dyDescent="0.2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</row>
    <row r="442" spans="3:16" ht="15" customHeight="1" x14ac:dyDescent="0.2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</row>
    <row r="443" spans="3:16" ht="15" customHeight="1" x14ac:dyDescent="0.2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</row>
    <row r="444" spans="3:16" ht="15" customHeight="1" x14ac:dyDescent="0.2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</row>
    <row r="445" spans="3:16" ht="15" customHeight="1" x14ac:dyDescent="0.2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</row>
    <row r="446" spans="3:16" ht="15" customHeight="1" x14ac:dyDescent="0.2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</row>
    <row r="447" spans="3:16" ht="15" customHeight="1" x14ac:dyDescent="0.2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</row>
    <row r="448" spans="3:16" ht="15" customHeight="1" x14ac:dyDescent="0.2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</row>
    <row r="449" spans="3:16" ht="15" customHeight="1" x14ac:dyDescent="0.2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</row>
    <row r="450" spans="3:16" ht="15" customHeight="1" x14ac:dyDescent="0.2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</row>
    <row r="451" spans="3:16" ht="15" customHeight="1" x14ac:dyDescent="0.2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</row>
    <row r="452" spans="3:16" ht="15" customHeight="1" x14ac:dyDescent="0.2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</row>
    <row r="453" spans="3:16" ht="15" customHeight="1" x14ac:dyDescent="0.2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</row>
    <row r="454" spans="3:16" ht="15" customHeight="1" x14ac:dyDescent="0.2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</row>
    <row r="455" spans="3:16" ht="15" customHeight="1" x14ac:dyDescent="0.2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</row>
    <row r="456" spans="3:16" ht="15" customHeight="1" x14ac:dyDescent="0.2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</row>
    <row r="457" spans="3:16" ht="15" customHeight="1" x14ac:dyDescent="0.2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</row>
    <row r="458" spans="3:16" ht="15" customHeight="1" x14ac:dyDescent="0.2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</row>
    <row r="459" spans="3:16" ht="15" customHeight="1" x14ac:dyDescent="0.2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</row>
    <row r="460" spans="3:16" ht="15" customHeight="1" x14ac:dyDescent="0.2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</row>
    <row r="461" spans="3:16" ht="15" customHeight="1" x14ac:dyDescent="0.2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</row>
    <row r="462" spans="3:16" ht="15" customHeight="1" x14ac:dyDescent="0.2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</row>
    <row r="463" spans="3:16" ht="15" customHeight="1" x14ac:dyDescent="0.2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</row>
    <row r="464" spans="3:16" ht="15" customHeight="1" x14ac:dyDescent="0.2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</row>
    <row r="465" spans="3:16" ht="15" customHeight="1" x14ac:dyDescent="0.2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</row>
    <row r="466" spans="3:16" ht="15" customHeight="1" x14ac:dyDescent="0.2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</row>
    <row r="467" spans="3:16" ht="15" customHeight="1" x14ac:dyDescent="0.2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</row>
    <row r="468" spans="3:16" ht="15" customHeight="1" x14ac:dyDescent="0.2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</row>
    <row r="469" spans="3:16" ht="15" customHeight="1" x14ac:dyDescent="0.2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</row>
    <row r="470" spans="3:16" ht="15" customHeight="1" x14ac:dyDescent="0.2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</row>
    <row r="471" spans="3:16" ht="15" customHeight="1" x14ac:dyDescent="0.2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</row>
    <row r="472" spans="3:16" ht="15" customHeight="1" x14ac:dyDescent="0.2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</row>
    <row r="473" spans="3:16" ht="15" customHeight="1" x14ac:dyDescent="0.2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</row>
    <row r="474" spans="3:16" ht="15" customHeight="1" x14ac:dyDescent="0.2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</row>
    <row r="475" spans="3:16" ht="15" customHeight="1" x14ac:dyDescent="0.2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</row>
    <row r="476" spans="3:16" ht="15" customHeight="1" x14ac:dyDescent="0.2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</row>
    <row r="477" spans="3:16" ht="15" customHeight="1" x14ac:dyDescent="0.2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</row>
    <row r="478" spans="3:16" ht="15" customHeight="1" x14ac:dyDescent="0.2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</row>
    <row r="479" spans="3:16" ht="15" customHeight="1" x14ac:dyDescent="0.2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</row>
    <row r="480" spans="3:16" ht="15" customHeight="1" x14ac:dyDescent="0.2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</row>
    <row r="481" spans="3:16" ht="15" customHeight="1" x14ac:dyDescent="0.2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</row>
    <row r="482" spans="3:16" ht="15" customHeight="1" x14ac:dyDescent="0.2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</row>
    <row r="483" spans="3:16" ht="15" customHeight="1" x14ac:dyDescent="0.2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</row>
    <row r="484" spans="3:16" ht="15" customHeight="1" x14ac:dyDescent="0.2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</row>
    <row r="485" spans="3:16" ht="15" customHeight="1" x14ac:dyDescent="0.2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</row>
    <row r="486" spans="3:16" ht="15" customHeight="1" x14ac:dyDescent="0.2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</row>
    <row r="487" spans="3:16" ht="15" customHeight="1" x14ac:dyDescent="0.2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</row>
    <row r="488" spans="3:16" ht="15" customHeight="1" x14ac:dyDescent="0.2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</row>
    <row r="489" spans="3:16" ht="15" customHeight="1" x14ac:dyDescent="0.2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</row>
    <row r="490" spans="3:16" ht="15" customHeight="1" x14ac:dyDescent="0.2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</row>
    <row r="491" spans="3:16" ht="15" customHeight="1" x14ac:dyDescent="0.2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</row>
    <row r="492" spans="3:16" ht="15" customHeight="1" x14ac:dyDescent="0.2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</row>
    <row r="493" spans="3:16" ht="15" customHeight="1" x14ac:dyDescent="0.2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</row>
    <row r="494" spans="3:16" ht="15" customHeight="1" x14ac:dyDescent="0.2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</row>
    <row r="495" spans="3:16" ht="15" customHeight="1" x14ac:dyDescent="0.2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</row>
    <row r="496" spans="3:16" ht="15" customHeight="1" x14ac:dyDescent="0.2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</row>
    <row r="497" spans="3:16" ht="15" customHeight="1" x14ac:dyDescent="0.2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</row>
    <row r="498" spans="3:16" ht="15" customHeight="1" x14ac:dyDescent="0.2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</row>
    <row r="499" spans="3:16" ht="15" customHeight="1" x14ac:dyDescent="0.2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</row>
    <row r="500" spans="3:16" ht="15" customHeight="1" x14ac:dyDescent="0.2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</row>
    <row r="501" spans="3:16" ht="15" customHeight="1" x14ac:dyDescent="0.2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</row>
    <row r="502" spans="3:16" ht="15" customHeight="1" x14ac:dyDescent="0.2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</row>
    <row r="503" spans="3:16" ht="15" customHeight="1" x14ac:dyDescent="0.2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</row>
    <row r="504" spans="3:16" ht="15" customHeight="1" x14ac:dyDescent="0.2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</row>
    <row r="505" spans="3:16" ht="15" customHeight="1" x14ac:dyDescent="0.2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</row>
    <row r="506" spans="3:16" ht="15" customHeight="1" x14ac:dyDescent="0.2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</row>
    <row r="507" spans="3:16" ht="15" customHeight="1" x14ac:dyDescent="0.2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</row>
    <row r="508" spans="3:16" ht="15" customHeight="1" x14ac:dyDescent="0.2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</row>
    <row r="509" spans="3:16" ht="15" customHeight="1" x14ac:dyDescent="0.2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</row>
    <row r="510" spans="3:16" ht="15" customHeight="1" x14ac:dyDescent="0.2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</row>
    <row r="511" spans="3:16" ht="15" customHeight="1" x14ac:dyDescent="0.2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</row>
    <row r="512" spans="3:16" ht="15" customHeight="1" x14ac:dyDescent="0.2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</row>
    <row r="513" spans="3:16" ht="15" customHeight="1" x14ac:dyDescent="0.2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</row>
    <row r="514" spans="3:16" ht="15" customHeight="1" x14ac:dyDescent="0.2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</row>
    <row r="515" spans="3:16" ht="15" customHeight="1" x14ac:dyDescent="0.2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</row>
    <row r="516" spans="3:16" ht="15" customHeight="1" x14ac:dyDescent="0.2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</row>
    <row r="517" spans="3:16" ht="15" customHeight="1" x14ac:dyDescent="0.2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</row>
    <row r="518" spans="3:16" ht="15" customHeight="1" x14ac:dyDescent="0.2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</row>
    <row r="519" spans="3:16" ht="15" customHeight="1" x14ac:dyDescent="0.2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</row>
    <row r="520" spans="3:16" ht="15" customHeight="1" x14ac:dyDescent="0.2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</row>
    <row r="521" spans="3:16" ht="15" customHeight="1" x14ac:dyDescent="0.2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</row>
    <row r="522" spans="3:16" ht="15" customHeight="1" x14ac:dyDescent="0.2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</row>
    <row r="523" spans="3:16" ht="15" customHeight="1" x14ac:dyDescent="0.2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</row>
    <row r="524" spans="3:16" ht="15" customHeight="1" x14ac:dyDescent="0.2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</row>
    <row r="525" spans="3:16" ht="15" customHeight="1" x14ac:dyDescent="0.2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</row>
    <row r="526" spans="3:16" ht="15" customHeight="1" x14ac:dyDescent="0.2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</row>
    <row r="527" spans="3:16" ht="15" customHeight="1" x14ac:dyDescent="0.2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</row>
    <row r="528" spans="3:16" ht="15" customHeight="1" x14ac:dyDescent="0.2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</row>
    <row r="529" spans="3:16" ht="15" customHeight="1" x14ac:dyDescent="0.2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</row>
    <row r="530" spans="3:16" ht="15" customHeight="1" x14ac:dyDescent="0.2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</row>
    <row r="531" spans="3:16" ht="15" customHeight="1" x14ac:dyDescent="0.2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</row>
    <row r="532" spans="3:16" ht="15" customHeight="1" x14ac:dyDescent="0.2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</row>
    <row r="533" spans="3:16" ht="15" customHeight="1" x14ac:dyDescent="0.2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</row>
    <row r="534" spans="3:16" ht="15" customHeight="1" x14ac:dyDescent="0.2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</row>
    <row r="535" spans="3:16" ht="15" customHeight="1" x14ac:dyDescent="0.2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</row>
    <row r="536" spans="3:16" ht="15" customHeight="1" x14ac:dyDescent="0.2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</row>
    <row r="537" spans="3:16" ht="15" customHeight="1" x14ac:dyDescent="0.2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</row>
    <row r="538" spans="3:16" ht="15" customHeight="1" x14ac:dyDescent="0.2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</row>
    <row r="539" spans="3:16" ht="15" customHeight="1" x14ac:dyDescent="0.2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</row>
    <row r="540" spans="3:16" ht="15" customHeight="1" x14ac:dyDescent="0.2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</row>
    <row r="541" spans="3:16" ht="15" customHeight="1" x14ac:dyDescent="0.2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</row>
    <row r="542" spans="3:16" ht="15" customHeight="1" x14ac:dyDescent="0.2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</row>
    <row r="543" spans="3:16" ht="15" customHeight="1" x14ac:dyDescent="0.2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</row>
    <row r="544" spans="3:16" ht="15" customHeight="1" x14ac:dyDescent="0.2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</row>
    <row r="545" spans="3:16" ht="15" customHeight="1" x14ac:dyDescent="0.2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</row>
    <row r="546" spans="3:16" ht="15" customHeight="1" x14ac:dyDescent="0.2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</row>
    <row r="547" spans="3:16" ht="15" customHeight="1" x14ac:dyDescent="0.2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</row>
    <row r="548" spans="3:16" ht="15" customHeight="1" x14ac:dyDescent="0.2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</row>
    <row r="549" spans="3:16" ht="15" customHeight="1" x14ac:dyDescent="0.2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</row>
    <row r="550" spans="3:16" ht="15" customHeight="1" x14ac:dyDescent="0.2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</row>
    <row r="551" spans="3:16" ht="15" customHeight="1" x14ac:dyDescent="0.2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</row>
    <row r="552" spans="3:16" ht="15" customHeight="1" x14ac:dyDescent="0.2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</row>
    <row r="553" spans="3:16" ht="15" customHeight="1" x14ac:dyDescent="0.2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</row>
    <row r="554" spans="3:16" ht="15" customHeight="1" x14ac:dyDescent="0.2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</row>
    <row r="555" spans="3:16" ht="15" customHeight="1" x14ac:dyDescent="0.2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</row>
    <row r="556" spans="3:16" ht="15" customHeight="1" x14ac:dyDescent="0.2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</row>
    <row r="557" spans="3:16" ht="15" customHeight="1" x14ac:dyDescent="0.2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</row>
    <row r="558" spans="3:16" ht="15" customHeight="1" x14ac:dyDescent="0.2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</row>
    <row r="559" spans="3:16" ht="15" customHeight="1" x14ac:dyDescent="0.2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</row>
    <row r="560" spans="3:16" ht="15" customHeight="1" x14ac:dyDescent="0.2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</row>
    <row r="561" spans="3:16" ht="15" customHeight="1" x14ac:dyDescent="0.2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</row>
    <row r="562" spans="3:16" ht="15" customHeight="1" x14ac:dyDescent="0.2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</row>
    <row r="563" spans="3:16" ht="15" customHeight="1" x14ac:dyDescent="0.2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</row>
    <row r="564" spans="3:16" ht="15" customHeight="1" x14ac:dyDescent="0.2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</row>
    <row r="565" spans="3:16" ht="15" customHeight="1" x14ac:dyDescent="0.2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</row>
    <row r="566" spans="3:16" ht="15" customHeight="1" x14ac:dyDescent="0.2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</row>
    <row r="567" spans="3:16" ht="15" customHeight="1" x14ac:dyDescent="0.2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</row>
    <row r="568" spans="3:16" ht="15" customHeight="1" x14ac:dyDescent="0.2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</row>
    <row r="569" spans="3:16" ht="15" customHeight="1" x14ac:dyDescent="0.2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</row>
    <row r="570" spans="3:16" ht="15" customHeight="1" x14ac:dyDescent="0.2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</row>
    <row r="571" spans="3:16" ht="15" customHeight="1" x14ac:dyDescent="0.2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</row>
    <row r="572" spans="3:16" ht="15" customHeight="1" x14ac:dyDescent="0.2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</row>
    <row r="573" spans="3:16" ht="15" customHeight="1" x14ac:dyDescent="0.2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</row>
    <row r="574" spans="3:16" ht="15" customHeight="1" x14ac:dyDescent="0.2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</row>
    <row r="575" spans="3:16" x14ac:dyDescent="0.2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</row>
    <row r="576" spans="3:16" x14ac:dyDescent="0.2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</row>
    <row r="577" spans="3:15" x14ac:dyDescent="0.2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</row>
    <row r="578" spans="3:15" x14ac:dyDescent="0.2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</row>
    <row r="579" spans="3:15" x14ac:dyDescent="0.2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</row>
  </sheetData>
  <mergeCells count="6">
    <mergeCell ref="B51:O51"/>
    <mergeCell ref="B7:O7"/>
    <mergeCell ref="B17:O17"/>
    <mergeCell ref="B25:O25"/>
    <mergeCell ref="B35:O35"/>
    <mergeCell ref="B43:O43"/>
  </mergeCells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7"/>
  <sheetViews>
    <sheetView showGridLines="0" zoomScale="70" zoomScaleNormal="70" workbookViewId="0">
      <selection activeCell="B14" sqref="B14"/>
    </sheetView>
  </sheetViews>
  <sheetFormatPr baseColWidth="10" defaultColWidth="9.140625" defaultRowHeight="12.75" x14ac:dyDescent="0.2"/>
  <cols>
    <col min="1" max="1" width="7.140625" style="2" customWidth="1"/>
    <col min="2" max="2" width="79.42578125" style="2" bestFit="1" customWidth="1"/>
    <col min="3" max="8" width="16.5703125" style="2" bestFit="1" customWidth="1"/>
    <col min="9" max="10" width="17.7109375" style="2" bestFit="1" customWidth="1"/>
    <col min="11" max="11" width="19.42578125" style="2" bestFit="1" customWidth="1"/>
    <col min="12" max="12" width="17.7109375" style="2" bestFit="1" customWidth="1"/>
    <col min="13" max="13" width="18.28515625" style="2" bestFit="1" customWidth="1"/>
    <col min="14" max="15" width="17.7109375" style="2" bestFit="1" customWidth="1"/>
    <col min="16" max="16" width="19.42578125" style="2" bestFit="1" customWidth="1"/>
    <col min="17" max="17" width="5.7109375" style="2" customWidth="1"/>
    <col min="18" max="65" width="25.28515625" style="2" bestFit="1" customWidth="1"/>
    <col min="66" max="66" width="24.85546875" style="2" bestFit="1" customWidth="1"/>
    <col min="67" max="67" width="28.140625" style="2" bestFit="1" customWidth="1"/>
    <col min="68" max="68" width="25.28515625" style="2" bestFit="1" customWidth="1"/>
    <col min="69" max="71" width="23.85546875" style="2" bestFit="1" customWidth="1"/>
    <col min="72" max="72" width="23.5703125" style="2" bestFit="1" customWidth="1"/>
    <col min="73" max="73" width="27.28515625" style="2" bestFit="1" customWidth="1"/>
    <col min="74" max="74" width="32" style="2" bestFit="1" customWidth="1"/>
    <col min="75" max="75" width="28.28515625" style="2" bestFit="1" customWidth="1"/>
    <col min="76" max="76" width="30.7109375" style="2" bestFit="1" customWidth="1"/>
    <col min="77" max="77" width="29.5703125" style="2" bestFit="1" customWidth="1"/>
    <col min="78" max="16384" width="9.140625" style="2"/>
  </cols>
  <sheetData>
    <row r="1" spans="1:16" ht="15.75" x14ac:dyDescent="0.25">
      <c r="B1" s="1"/>
      <c r="P1" s="3"/>
    </row>
    <row r="2" spans="1:16" customFormat="1" ht="30" customHeight="1" x14ac:dyDescent="0.25">
      <c r="A2" s="18"/>
      <c r="B2" s="18" t="s">
        <v>42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6" s="4" customFormat="1" ht="15" customHeight="1" x14ac:dyDescent="0.2"/>
    <row r="4" spans="1:16" s="4" customFormat="1" ht="19.5" customHeight="1" x14ac:dyDescent="0.2">
      <c r="B4" s="19" t="s">
        <v>48</v>
      </c>
    </row>
    <row r="5" spans="1:16" s="4" customFormat="1" ht="7.5" customHeight="1" x14ac:dyDescent="0.25">
      <c r="P5"/>
    </row>
    <row r="6" spans="1:16" customFormat="1" ht="15" customHeight="1" x14ac:dyDescent="0.25">
      <c r="A6" s="8"/>
      <c r="B6" s="9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</row>
    <row r="7" spans="1:16" customFormat="1" ht="18.75" x14ac:dyDescent="0.3">
      <c r="A7" s="1"/>
      <c r="B7" s="32" t="s">
        <v>37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</row>
    <row r="8" spans="1:16" customFormat="1" ht="15" customHeight="1" x14ac:dyDescent="0.25">
      <c r="A8" s="8"/>
      <c r="B8" t="s">
        <v>20</v>
      </c>
      <c r="C8" t="s">
        <v>1</v>
      </c>
      <c r="D8" t="s">
        <v>2</v>
      </c>
      <c r="E8" t="s">
        <v>3</v>
      </c>
      <c r="F8" t="s">
        <v>4</v>
      </c>
      <c r="G8" t="s">
        <v>5</v>
      </c>
      <c r="H8" t="s">
        <v>6</v>
      </c>
      <c r="I8" t="s">
        <v>7</v>
      </c>
      <c r="J8" t="s">
        <v>8</v>
      </c>
      <c r="K8" t="s">
        <v>9</v>
      </c>
      <c r="L8" t="s">
        <v>10</v>
      </c>
      <c r="M8" t="s">
        <v>11</v>
      </c>
      <c r="N8" t="s">
        <v>12</v>
      </c>
      <c r="O8" t="s">
        <v>13</v>
      </c>
    </row>
    <row r="9" spans="1:16" customFormat="1" ht="15" customHeight="1" x14ac:dyDescent="0.25">
      <c r="A9" s="8"/>
      <c r="B9" t="s">
        <v>14</v>
      </c>
      <c r="C9" s="21">
        <v>800</v>
      </c>
      <c r="D9" s="21">
        <v>800</v>
      </c>
      <c r="E9" s="21">
        <v>1300</v>
      </c>
      <c r="F9" s="21">
        <v>1300</v>
      </c>
      <c r="G9" s="21">
        <v>1300</v>
      </c>
      <c r="H9" s="21">
        <v>1300</v>
      </c>
      <c r="I9" s="21">
        <v>4000</v>
      </c>
      <c r="J9" s="21">
        <v>4500</v>
      </c>
      <c r="K9" s="21">
        <v>4500</v>
      </c>
      <c r="L9" s="21">
        <v>4500</v>
      </c>
      <c r="M9" s="21">
        <v>4500</v>
      </c>
      <c r="N9" s="21">
        <v>1000</v>
      </c>
      <c r="O9" s="21">
        <f>SUM(Table316[[#This Row],[ENERO]:[DICIEMBRE]])</f>
        <v>29800</v>
      </c>
    </row>
    <row r="10" spans="1:16" customFormat="1" ht="15" customHeight="1" x14ac:dyDescent="0.25">
      <c r="A10" s="8"/>
      <c r="B10" t="s">
        <v>15</v>
      </c>
      <c r="C10" s="21">
        <v>1500</v>
      </c>
      <c r="D10" s="21">
        <v>1500</v>
      </c>
      <c r="E10" s="21">
        <v>1500</v>
      </c>
      <c r="F10" s="21">
        <v>1500</v>
      </c>
      <c r="G10" s="21">
        <v>1500</v>
      </c>
      <c r="H10" s="21">
        <v>900</v>
      </c>
      <c r="I10" s="21">
        <v>3000</v>
      </c>
      <c r="J10" s="21">
        <v>3000</v>
      </c>
      <c r="K10" s="21">
        <v>3000</v>
      </c>
      <c r="L10" s="21">
        <v>3000</v>
      </c>
      <c r="M10" s="21">
        <v>3000</v>
      </c>
      <c r="N10" s="21">
        <v>3000</v>
      </c>
      <c r="O10" s="21">
        <f>SUM(Table316[[#This Row],[ENERO]:[DICIEMBRE]])</f>
        <v>26400</v>
      </c>
    </row>
    <row r="11" spans="1:16" customFormat="1" ht="15" customHeight="1" x14ac:dyDescent="0.25">
      <c r="A11" s="8"/>
      <c r="B11" t="s">
        <v>16</v>
      </c>
      <c r="C11" s="21">
        <v>1900</v>
      </c>
      <c r="D11" s="21">
        <v>1900</v>
      </c>
      <c r="E11" s="21">
        <v>1900</v>
      </c>
      <c r="F11" s="21">
        <v>1900</v>
      </c>
      <c r="G11" s="21">
        <v>1900</v>
      </c>
      <c r="H11" s="21">
        <v>1050</v>
      </c>
      <c r="I11" s="21">
        <v>1050</v>
      </c>
      <c r="J11" s="21">
        <v>1050</v>
      </c>
      <c r="K11" s="21">
        <v>1050</v>
      </c>
      <c r="L11" s="21">
        <v>1050</v>
      </c>
      <c r="M11" s="21">
        <v>1050</v>
      </c>
      <c r="N11" s="21">
        <v>1050</v>
      </c>
      <c r="O11" s="21">
        <f>SUM(Table316[[#This Row],[ENERO]:[DICIEMBRE]])</f>
        <v>16850</v>
      </c>
    </row>
    <row r="12" spans="1:16" customFormat="1" ht="15" customHeight="1" x14ac:dyDescent="0.25">
      <c r="A12" s="8"/>
      <c r="B12" t="s">
        <v>19</v>
      </c>
      <c r="C12" s="21">
        <f>SUBTOTAL(109,Table316[ENERO])</f>
        <v>4200</v>
      </c>
      <c r="D12" s="21">
        <f>SUBTOTAL(109,Table316[FEBRERO])</f>
        <v>4200</v>
      </c>
      <c r="E12" s="21">
        <f>SUBTOTAL(109,Table316[MARZO])</f>
        <v>4700</v>
      </c>
      <c r="F12" s="21">
        <f>SUBTOTAL(109,Table316[ABRIL])</f>
        <v>4700</v>
      </c>
      <c r="G12" s="21">
        <f>SUBTOTAL(109,Table316[MAYO])</f>
        <v>4700</v>
      </c>
      <c r="H12" s="21">
        <f>SUBTOTAL(109,Table316[JUNIO])</f>
        <v>3250</v>
      </c>
      <c r="I12" s="21">
        <f>SUBTOTAL(109,Table316[JULIO])</f>
        <v>8050</v>
      </c>
      <c r="J12" s="21">
        <f>SUBTOTAL(109,Table316[AGOSTO])</f>
        <v>8550</v>
      </c>
      <c r="K12" s="21">
        <f>SUBTOTAL(109,Table316[SEPTIEMBRE])</f>
        <v>8550</v>
      </c>
      <c r="L12" s="21">
        <f>SUBTOTAL(109,Table316[OCTUBRE])</f>
        <v>8550</v>
      </c>
      <c r="M12" s="21">
        <f>SUBTOTAL(109,Table316[NOVIEMBRE])</f>
        <v>8550</v>
      </c>
      <c r="N12" s="21">
        <f>SUBTOTAL(109,Table316[DICIEMBRE])</f>
        <v>5050</v>
      </c>
      <c r="O12" s="21">
        <f>SUBTOTAL(109,Table316[ANUAL])</f>
        <v>73050</v>
      </c>
    </row>
    <row r="13" spans="1:16" customFormat="1" ht="15.75" x14ac:dyDescent="0.25">
      <c r="A13" s="1"/>
      <c r="B13" s="9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</row>
    <row r="14" spans="1:16" customFormat="1" ht="15.75" x14ac:dyDescent="0.25">
      <c r="A14" s="1"/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</row>
    <row r="15" spans="1:16" customFormat="1" ht="15" customHeight="1" x14ac:dyDescent="0.25">
      <c r="A15" s="8"/>
      <c r="B15" s="9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</row>
    <row r="16" spans="1:16" customFormat="1" ht="15.75" x14ac:dyDescent="0.25">
      <c r="A16" s="8"/>
      <c r="B16" s="9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</row>
    <row r="17" spans="2:16384" s="1" customFormat="1" ht="15.75" x14ac:dyDescent="0.25">
      <c r="B17" s="9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  <c r="XFD17"/>
    </row>
  </sheetData>
  <mergeCells count="1">
    <mergeCell ref="B7:O7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workbookViewId="0">
      <selection activeCell="C5" sqref="C5"/>
    </sheetView>
  </sheetViews>
  <sheetFormatPr baseColWidth="10" defaultColWidth="9.140625" defaultRowHeight="15" x14ac:dyDescent="0.25"/>
  <cols>
    <col min="2" max="2" width="21.140625" customWidth="1"/>
    <col min="3" max="3" width="11.5703125" bestFit="1" customWidth="1"/>
  </cols>
  <sheetData>
    <row r="2" spans="2:3" x14ac:dyDescent="0.25">
      <c r="B2" s="25" t="s">
        <v>43</v>
      </c>
      <c r="C2" s="27" t="s">
        <v>44</v>
      </c>
    </row>
    <row r="3" spans="2:3" x14ac:dyDescent="0.25">
      <c r="B3" s="26" t="s">
        <v>45</v>
      </c>
      <c r="C3" s="29">
        <f>SUM(Table913[ANUAL])</f>
        <v>56500</v>
      </c>
    </row>
    <row r="4" spans="2:3" x14ac:dyDescent="0.25">
      <c r="B4" s="26" t="s">
        <v>46</v>
      </c>
      <c r="C4" s="29">
        <f>SUM(Table9[ANUAL])</f>
        <v>56600</v>
      </c>
    </row>
    <row r="5" spans="2:3" x14ac:dyDescent="0.25">
      <c r="B5" s="26" t="s">
        <v>47</v>
      </c>
      <c r="C5" s="30">
        <f>PRODUCT((SUM(Table316[ANUAL])),-1)</f>
        <v>-73050</v>
      </c>
    </row>
    <row r="6" spans="2:3" x14ac:dyDescent="0.25">
      <c r="B6" s="28" t="s">
        <v>49</v>
      </c>
      <c r="C6" s="31">
        <f>SUM(C3:C5)</f>
        <v>40050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GridLines="0" workbookViewId="0">
      <selection sqref="A1:N1"/>
    </sheetView>
  </sheetViews>
  <sheetFormatPr baseColWidth="10" defaultColWidth="9.140625" defaultRowHeight="15" x14ac:dyDescent="0.25"/>
  <cols>
    <col min="2" max="2" width="12.140625" bestFit="1" customWidth="1"/>
    <col min="3" max="15" width="21.5703125" customWidth="1"/>
  </cols>
  <sheetData>
    <row r="1" spans="1:15" ht="30" customHeight="1" x14ac:dyDescent="0.25">
      <c r="A1" s="33" t="s">
        <v>27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18"/>
    </row>
    <row r="4" spans="1:15" x14ac:dyDescent="0.25">
      <c r="B4" t="s">
        <v>20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</row>
    <row r="5" spans="1:15" ht="43.5" customHeight="1" x14ac:dyDescent="0.25">
      <c r="B5" s="24" t="s">
        <v>14</v>
      </c>
      <c r="C5" s="20" t="s">
        <v>28</v>
      </c>
      <c r="D5" s="20"/>
      <c r="E5" s="20"/>
      <c r="F5" s="20" t="s">
        <v>29</v>
      </c>
      <c r="G5" s="20"/>
      <c r="H5" s="20"/>
      <c r="I5" s="20"/>
      <c r="J5" s="20"/>
      <c r="K5" s="20"/>
      <c r="L5" s="20"/>
      <c r="M5" s="20"/>
      <c r="N5" s="20"/>
      <c r="O5" s="20"/>
    </row>
    <row r="6" spans="1:15" ht="43.5" customHeight="1" x14ac:dyDescent="0.25">
      <c r="B6" s="24" t="s">
        <v>15</v>
      </c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5" ht="43.5" customHeight="1" x14ac:dyDescent="0.25">
      <c r="B7" s="24" t="s">
        <v>16</v>
      </c>
      <c r="C7" s="20"/>
      <c r="D7" s="20" t="s">
        <v>30</v>
      </c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</row>
    <row r="8" spans="1:15" ht="43.5" customHeight="1" x14ac:dyDescent="0.25"/>
    <row r="9" spans="1:15" ht="43.5" customHeight="1" x14ac:dyDescent="0.25"/>
    <row r="10" spans="1:15" ht="43.5" customHeight="1" x14ac:dyDescent="0.25"/>
    <row r="11" spans="1:15" ht="43.5" customHeight="1" x14ac:dyDescent="0.25"/>
    <row r="12" spans="1:15" ht="43.5" customHeight="1" x14ac:dyDescent="0.25"/>
    <row r="13" spans="1:15" ht="43.5" customHeight="1" x14ac:dyDescent="0.25"/>
    <row r="14" spans="1:15" ht="43.5" customHeight="1" x14ac:dyDescent="0.25"/>
    <row r="15" spans="1:15" ht="43.5" customHeight="1" x14ac:dyDescent="0.25"/>
    <row r="16" spans="1:15" ht="43.5" customHeight="1" x14ac:dyDescent="0.25"/>
    <row r="17" ht="43.5" customHeight="1" x14ac:dyDescent="0.25"/>
    <row r="18" ht="43.5" customHeight="1" x14ac:dyDescent="0.25"/>
    <row r="19" ht="43.5" customHeight="1" x14ac:dyDescent="0.25"/>
    <row r="20" ht="43.5" customHeight="1" x14ac:dyDescent="0.25"/>
    <row r="21" ht="43.5" customHeight="1" x14ac:dyDescent="0.25"/>
    <row r="22" ht="43.5" customHeight="1" x14ac:dyDescent="0.25"/>
  </sheetData>
  <mergeCells count="1">
    <mergeCell ref="A1:N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Bebidas</vt:lpstr>
      <vt:lpstr>Comidas</vt:lpstr>
      <vt:lpstr>Menaje</vt:lpstr>
      <vt:lpstr>Total</vt:lpstr>
      <vt:lpstr>Notas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Zambrano</dc:creator>
  <cp:lastModifiedBy>Curro herreros</cp:lastModifiedBy>
  <dcterms:created xsi:type="dcterms:W3CDTF">2022-08-30T18:37:08Z</dcterms:created>
  <dcterms:modified xsi:type="dcterms:W3CDTF">2022-09-02T22:08:48Z</dcterms:modified>
</cp:coreProperties>
</file>